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mprg\aagitme\tdy\2024 cepesas\"/>
    </mc:Choice>
  </mc:AlternateContent>
  <xr:revisionPtr revIDLastSave="0" documentId="13_ncr:1_{84CFABA3-BB7E-4AB8-94B3-CF204B831339}" xr6:coauthVersionLast="47" xr6:coauthVersionMax="47" xr10:uidLastSave="{00000000-0000-0000-0000-000000000000}"/>
  <bookViews>
    <workbookView xWindow="-120" yWindow="-120" windowWidth="20730" windowHeight="11160" activeTab="1" xr2:uid="{00000000-000D-0000-FFFF-FFFF00000000}"/>
  </bookViews>
  <sheets>
    <sheet name="2024" sheetId="1" r:id="rId1"/>
    <sheet name="24_10" sheetId="38" r:id="rId2"/>
    <sheet name="24_09" sheetId="36" r:id="rId3"/>
    <sheet name="24_08" sheetId="35" r:id="rId4"/>
    <sheet name="24_07" sheetId="34" r:id="rId5"/>
    <sheet name="24_06" sheetId="2" r:id="rId6"/>
    <sheet name="24_05" sheetId="3" r:id="rId7"/>
    <sheet name="24_04" sheetId="4" r:id="rId8"/>
    <sheet name="24_03" sheetId="5" r:id="rId9"/>
    <sheet name="24_02" sheetId="6" r:id="rId10"/>
    <sheet name="24_01" sheetId="7" r:id="rId11"/>
    <sheet name="2023" sheetId="8" r:id="rId12"/>
    <sheet name="23_12" sheetId="9" r:id="rId13"/>
    <sheet name="23_11" sheetId="10" r:id="rId14"/>
    <sheet name="23_10" sheetId="11" r:id="rId15"/>
    <sheet name="23_9" sheetId="12" r:id="rId16"/>
    <sheet name="23_8" sheetId="13" r:id="rId17"/>
    <sheet name="23_7" sheetId="14" r:id="rId18"/>
    <sheet name="23_6" sheetId="15" r:id="rId19"/>
    <sheet name="23_5" sheetId="16" r:id="rId20"/>
    <sheet name="23_4" sheetId="17" r:id="rId21"/>
    <sheet name="23_3" sheetId="18" r:id="rId22"/>
    <sheet name="23_2" sheetId="19" r:id="rId23"/>
    <sheet name="01-23" sheetId="20" r:id="rId24"/>
    <sheet name="01-22" sheetId="21" r:id="rId25"/>
    <sheet name="02-22" sheetId="22" r:id="rId26"/>
    <sheet name="03-22" sheetId="23" r:id="rId27"/>
    <sheet name="04-22" sheetId="24" r:id="rId28"/>
    <sheet name="05-22" sheetId="25" r:id="rId29"/>
    <sheet name="06-22" sheetId="26" r:id="rId30"/>
    <sheet name="07-22" sheetId="27" r:id="rId31"/>
    <sheet name="08-22" sheetId="28" r:id="rId32"/>
    <sheet name="09-22" sheetId="29" r:id="rId33"/>
    <sheet name="10-22" sheetId="30" r:id="rId34"/>
    <sheet name="11-22" sheetId="31" r:id="rId35"/>
    <sheet name="12-22" sheetId="32" r:id="rId36"/>
    <sheet name="Sheet7" sheetId="33" r:id="rId37"/>
  </sheets>
  <calcPr calcId="181029"/>
</workbook>
</file>

<file path=xl/calcChain.xml><?xml version="1.0" encoding="utf-8"?>
<calcChain xmlns="http://schemas.openxmlformats.org/spreadsheetml/2006/main">
  <c r="B40" i="38" l="1"/>
  <c r="B37" i="38"/>
  <c r="D36" i="38"/>
  <c r="B33" i="38"/>
  <c r="B31" i="38"/>
  <c r="D30" i="38"/>
  <c r="C29" i="38"/>
  <c r="B25" i="38"/>
  <c r="C23" i="38" s="1"/>
  <c r="B19" i="38"/>
  <c r="C17" i="38" s="1"/>
  <c r="D18" i="38"/>
  <c r="B13" i="38"/>
  <c r="D12" i="38"/>
  <c r="C11" i="38"/>
  <c r="D6" i="38"/>
  <c r="C5" i="38"/>
  <c r="D3" i="38"/>
  <c r="E3" i="38" s="1"/>
  <c r="B40" i="36"/>
  <c r="B37" i="36"/>
  <c r="D36" i="36"/>
  <c r="B33" i="36"/>
  <c r="B31" i="36"/>
  <c r="D30" i="36"/>
  <c r="C29" i="36"/>
  <c r="B25" i="36"/>
  <c r="C23" i="36" s="1"/>
  <c r="B19" i="36"/>
  <c r="D18" i="36"/>
  <c r="C17" i="36"/>
  <c r="B13" i="36"/>
  <c r="D12" i="36"/>
  <c r="C11" i="36"/>
  <c r="D6" i="36"/>
  <c r="C5" i="36"/>
  <c r="D3" i="36"/>
  <c r="E3" i="36" s="1"/>
  <c r="B40" i="35"/>
  <c r="D36" i="35"/>
  <c r="B33" i="35"/>
  <c r="D30" i="35"/>
  <c r="D18" i="35"/>
  <c r="D12" i="35"/>
  <c r="D6" i="35"/>
  <c r="C5" i="35"/>
  <c r="D3" i="35"/>
  <c r="E3" i="35" s="1"/>
  <c r="B40" i="34"/>
  <c r="D36" i="34"/>
  <c r="B33" i="34"/>
  <c r="D30" i="34"/>
  <c r="D18" i="34"/>
  <c r="D12" i="34"/>
  <c r="D6" i="34"/>
  <c r="C5" i="34"/>
  <c r="D3" i="34"/>
  <c r="E3" i="34" s="1"/>
  <c r="H3" i="33"/>
  <c r="G3" i="33"/>
  <c r="F3" i="33"/>
  <c r="E3" i="33"/>
  <c r="D3" i="33"/>
  <c r="C3" i="33"/>
  <c r="C30" i="29"/>
  <c r="C6" i="29"/>
  <c r="D6" i="29" s="1"/>
  <c r="C30" i="28"/>
  <c r="D30" i="28" s="1"/>
  <c r="C6" i="28"/>
  <c r="D6" i="28" s="1"/>
  <c r="C36" i="27"/>
  <c r="C30" i="27"/>
  <c r="D30" i="27" s="1"/>
  <c r="C18" i="27"/>
  <c r="D18" i="27" s="1"/>
  <c r="C6" i="27"/>
  <c r="D6" i="27" s="1"/>
  <c r="C3" i="27"/>
  <c r="D3" i="27" s="1"/>
  <c r="E3" i="27" s="1"/>
  <c r="C36" i="26"/>
  <c r="D36" i="26" s="1"/>
  <c r="C30" i="26"/>
  <c r="D30" i="26" s="1"/>
  <c r="C18" i="26"/>
  <c r="D18" i="26" s="1"/>
  <c r="C12" i="26"/>
  <c r="C6" i="26"/>
  <c r="D6" i="26" s="1"/>
  <c r="C3" i="26"/>
  <c r="C32" i="25"/>
  <c r="D32" i="25" s="1"/>
  <c r="C27" i="25"/>
  <c r="D27" i="25" s="1"/>
  <c r="C22" i="25"/>
  <c r="C12" i="25"/>
  <c r="D12" i="25" s="1"/>
  <c r="C7" i="25"/>
  <c r="D7" i="25" s="1"/>
  <c r="C3" i="25"/>
  <c r="D3" i="25" s="1"/>
  <c r="E3" i="25" s="1"/>
  <c r="C32" i="24"/>
  <c r="D32" i="24" s="1"/>
  <c r="C27" i="24"/>
  <c r="D27" i="24" s="1"/>
  <c r="C22" i="24"/>
  <c r="D22" i="24" s="1"/>
  <c r="C12" i="24"/>
  <c r="D12" i="24" s="1"/>
  <c r="C7" i="24"/>
  <c r="C3" i="24"/>
  <c r="D3" i="24" s="1"/>
  <c r="E3" i="24" s="1"/>
  <c r="C32" i="23"/>
  <c r="B30" i="23"/>
  <c r="B30" i="24" s="1"/>
  <c r="B30" i="25" s="1"/>
  <c r="C27" i="23"/>
  <c r="D27" i="23" s="1"/>
  <c r="C22" i="23"/>
  <c r="D22" i="23" s="1"/>
  <c r="C12" i="23"/>
  <c r="D12" i="23" s="1"/>
  <c r="C7" i="23"/>
  <c r="D7" i="23" s="1"/>
  <c r="C3" i="23"/>
  <c r="C32" i="22"/>
  <c r="C27" i="22"/>
  <c r="D27" i="22" s="1"/>
  <c r="C22" i="22"/>
  <c r="C12" i="22"/>
  <c r="C7" i="22"/>
  <c r="D7" i="22" s="1"/>
  <c r="C3" i="22"/>
  <c r="D3" i="22" s="1"/>
  <c r="E3" i="22" s="1"/>
  <c r="N29" i="33"/>
  <c r="N27" i="33" s="1"/>
  <c r="L29" i="33"/>
  <c r="L27" i="33" s="1"/>
  <c r="K29" i="33"/>
  <c r="K27" i="33" s="1"/>
  <c r="O28" i="33"/>
  <c r="N24" i="33"/>
  <c r="N22" i="33" s="1"/>
  <c r="M24" i="33"/>
  <c r="M22" i="33" s="1"/>
  <c r="L24" i="33"/>
  <c r="L22" i="33" s="1"/>
  <c r="K24" i="33"/>
  <c r="J24" i="33"/>
  <c r="J22" i="33" s="1"/>
  <c r="I24" i="33"/>
  <c r="I22" i="33" s="1"/>
  <c r="E24" i="33"/>
  <c r="E22" i="33" s="1"/>
  <c r="K22" i="33"/>
  <c r="O20" i="33"/>
  <c r="O18" i="33"/>
  <c r="O15" i="33"/>
  <c r="O13" i="33"/>
  <c r="O10" i="33"/>
  <c r="O8" i="33"/>
  <c r="N5" i="33"/>
  <c r="N14" i="33" s="1"/>
  <c r="N12" i="33" s="1"/>
  <c r="M5" i="33"/>
  <c r="M29" i="33" s="1"/>
  <c r="M27" i="33" s="1"/>
  <c r="L5" i="33"/>
  <c r="L14" i="33" s="1"/>
  <c r="L12" i="33" s="1"/>
  <c r="K5" i="33"/>
  <c r="K9" i="33" s="1"/>
  <c r="K7" i="33" s="1"/>
  <c r="J5" i="33"/>
  <c r="J29" i="33" s="1"/>
  <c r="J27" i="33" s="1"/>
  <c r="I5" i="33"/>
  <c r="I9" i="33" s="1"/>
  <c r="I7" i="33" s="1"/>
  <c r="D36" i="32"/>
  <c r="B33" i="32"/>
  <c r="D30" i="32"/>
  <c r="D18" i="32"/>
  <c r="D12" i="32"/>
  <c r="D6" i="32"/>
  <c r="D3" i="32"/>
  <c r="E3" i="32" s="1"/>
  <c r="D36" i="31"/>
  <c r="B33" i="31"/>
  <c r="D30" i="31"/>
  <c r="D18" i="31"/>
  <c r="D12" i="31"/>
  <c r="D6" i="31"/>
  <c r="D3" i="31"/>
  <c r="D39" i="30"/>
  <c r="D36" i="30"/>
  <c r="D34" i="30"/>
  <c r="B33" i="30"/>
  <c r="D30" i="30"/>
  <c r="D28" i="30"/>
  <c r="B21" i="30"/>
  <c r="D18" i="30"/>
  <c r="D16" i="30"/>
  <c r="B15" i="30"/>
  <c r="D12" i="30"/>
  <c r="D10" i="30"/>
  <c r="B9" i="30"/>
  <c r="D6" i="30"/>
  <c r="D3" i="30"/>
  <c r="E3" i="30" s="1"/>
  <c r="D39" i="29"/>
  <c r="D36" i="29"/>
  <c r="D34" i="29"/>
  <c r="B33" i="29"/>
  <c r="D30" i="29"/>
  <c r="D28" i="29"/>
  <c r="B21" i="29"/>
  <c r="D18" i="29"/>
  <c r="E21" i="29" s="1"/>
  <c r="D16" i="29"/>
  <c r="B15" i="29"/>
  <c r="D12" i="29"/>
  <c r="D10" i="29"/>
  <c r="B9" i="29"/>
  <c r="D3" i="29"/>
  <c r="E3" i="29" s="1"/>
  <c r="E4" i="29" s="1"/>
  <c r="D39" i="28"/>
  <c r="D36" i="28"/>
  <c r="D34" i="28"/>
  <c r="B33" i="28"/>
  <c r="D28" i="28"/>
  <c r="B27" i="28"/>
  <c r="B21" i="28"/>
  <c r="D18" i="28"/>
  <c r="D16" i="28"/>
  <c r="B15" i="28"/>
  <c r="D12" i="28"/>
  <c r="E15" i="28" s="1"/>
  <c r="D10" i="28"/>
  <c r="B9" i="28"/>
  <c r="D3" i="28"/>
  <c r="E3" i="28" s="1"/>
  <c r="E33" i="28" s="1"/>
  <c r="D39" i="27"/>
  <c r="D36" i="27"/>
  <c r="D34" i="27"/>
  <c r="B33" i="27"/>
  <c r="D28" i="27"/>
  <c r="B27" i="27"/>
  <c r="B21" i="27"/>
  <c r="D16" i="27"/>
  <c r="B15" i="27"/>
  <c r="D12" i="27"/>
  <c r="D10" i="27"/>
  <c r="B9" i="27"/>
  <c r="D39" i="26"/>
  <c r="D38" i="26"/>
  <c r="B38" i="26"/>
  <c r="D34" i="26"/>
  <c r="D33" i="26" s="1"/>
  <c r="B33" i="26"/>
  <c r="D28" i="26"/>
  <c r="D22" i="26"/>
  <c r="D21" i="26" s="1"/>
  <c r="B21" i="26" s="1"/>
  <c r="D16" i="26"/>
  <c r="D15" i="26" s="1"/>
  <c r="B15" i="26" s="1"/>
  <c r="B12" i="26"/>
  <c r="D12" i="26" s="1"/>
  <c r="D10" i="26"/>
  <c r="D9" i="26"/>
  <c r="B9" i="26" s="1"/>
  <c r="D3" i="26"/>
  <c r="E3" i="26" s="1"/>
  <c r="E33" i="26" s="1"/>
  <c r="D17" i="25"/>
  <c r="E15" i="24"/>
  <c r="D7" i="24"/>
  <c r="D32" i="23"/>
  <c r="D3" i="23"/>
  <c r="E3" i="23" s="1"/>
  <c r="D4" i="33" s="1"/>
  <c r="D32" i="22"/>
  <c r="D22" i="22"/>
  <c r="D12" i="22"/>
  <c r="C17" i="22" s="1"/>
  <c r="B35" i="21"/>
  <c r="B35" i="22" s="1"/>
  <c r="B35" i="23" s="1"/>
  <c r="B35" i="24" s="1"/>
  <c r="B35" i="25" s="1"/>
  <c r="D32" i="21"/>
  <c r="B30" i="21"/>
  <c r="D27" i="21"/>
  <c r="B25" i="21"/>
  <c r="B25" i="22" s="1"/>
  <c r="B25" i="23" s="1"/>
  <c r="B25" i="24" s="1"/>
  <c r="B25" i="25" s="1"/>
  <c r="D22" i="21"/>
  <c r="B20" i="21"/>
  <c r="B20" i="22" s="1"/>
  <c r="B20" i="23" s="1"/>
  <c r="B20" i="24" s="1"/>
  <c r="B20" i="25" s="1"/>
  <c r="B15" i="21"/>
  <c r="B15" i="22" s="1"/>
  <c r="B15" i="23" s="1"/>
  <c r="B15" i="24" s="1"/>
  <c r="B15" i="25" s="1"/>
  <c r="D12" i="21"/>
  <c r="B10" i="21"/>
  <c r="B10" i="22" s="1"/>
  <c r="B10" i="23" s="1"/>
  <c r="B10" i="24" s="1"/>
  <c r="B10" i="25" s="1"/>
  <c r="D7" i="21"/>
  <c r="D3" i="21"/>
  <c r="E3" i="21" s="1"/>
  <c r="D36" i="20"/>
  <c r="B33" i="20"/>
  <c r="D30" i="20"/>
  <c r="D18" i="20"/>
  <c r="D12" i="20"/>
  <c r="D6" i="20"/>
  <c r="D3" i="20"/>
  <c r="E3" i="20" s="1"/>
  <c r="D36" i="19"/>
  <c r="B33" i="19"/>
  <c r="D30" i="19"/>
  <c r="D18" i="19"/>
  <c r="D12" i="19"/>
  <c r="D6" i="19"/>
  <c r="D3" i="19"/>
  <c r="E3" i="19" s="1"/>
  <c r="B40" i="18"/>
  <c r="D36" i="18"/>
  <c r="B33" i="18"/>
  <c r="D30" i="18"/>
  <c r="D18" i="18"/>
  <c r="D12" i="18"/>
  <c r="D6" i="18"/>
  <c r="E3" i="18"/>
  <c r="D3" i="18"/>
  <c r="B40" i="17"/>
  <c r="D36" i="17"/>
  <c r="B33" i="17"/>
  <c r="D30" i="17"/>
  <c r="D18" i="17"/>
  <c r="D12" i="17"/>
  <c r="D6" i="17"/>
  <c r="D3" i="17"/>
  <c r="E3" i="17" s="1"/>
  <c r="B40" i="16"/>
  <c r="D36" i="16"/>
  <c r="B33" i="16"/>
  <c r="D30" i="16"/>
  <c r="D18" i="16"/>
  <c r="D12" i="16"/>
  <c r="D6" i="16"/>
  <c r="D3" i="16"/>
  <c r="E3" i="16" s="1"/>
  <c r="B40" i="15"/>
  <c r="D36" i="15"/>
  <c r="B33" i="15"/>
  <c r="D30" i="15"/>
  <c r="D18" i="15"/>
  <c r="D12" i="15"/>
  <c r="D6" i="15"/>
  <c r="E9" i="15" s="1"/>
  <c r="D3" i="15"/>
  <c r="E3" i="15" s="1"/>
  <c r="E4" i="15" s="1"/>
  <c r="B40" i="14"/>
  <c r="D36" i="14"/>
  <c r="B33" i="14"/>
  <c r="D30" i="14"/>
  <c r="D18" i="14"/>
  <c r="D12" i="14"/>
  <c r="D6" i="14"/>
  <c r="D3" i="14"/>
  <c r="E3" i="14" s="1"/>
  <c r="B40" i="13"/>
  <c r="D36" i="13"/>
  <c r="B33" i="13"/>
  <c r="D30" i="13"/>
  <c r="D18" i="13"/>
  <c r="D12" i="13"/>
  <c r="D6" i="13"/>
  <c r="D3" i="13"/>
  <c r="E3" i="13" s="1"/>
  <c r="B40" i="12"/>
  <c r="D36" i="12"/>
  <c r="B33" i="12"/>
  <c r="D30" i="12"/>
  <c r="D18" i="12"/>
  <c r="D12" i="12"/>
  <c r="D6" i="12"/>
  <c r="D3" i="12"/>
  <c r="E3" i="12" s="1"/>
  <c r="B40" i="11"/>
  <c r="D36" i="11"/>
  <c r="B33" i="11"/>
  <c r="D30" i="11"/>
  <c r="D18" i="11"/>
  <c r="D12" i="11"/>
  <c r="D6" i="11"/>
  <c r="D3" i="11"/>
  <c r="E3" i="11" s="1"/>
  <c r="B40" i="10"/>
  <c r="D36" i="10"/>
  <c r="B33" i="10"/>
  <c r="D30" i="10"/>
  <c r="D18" i="10"/>
  <c r="D12" i="10"/>
  <c r="D6" i="10"/>
  <c r="D3" i="10"/>
  <c r="E3" i="10" s="1"/>
  <c r="E4" i="10" s="1"/>
  <c r="B40" i="9"/>
  <c r="D36" i="9"/>
  <c r="B33" i="9"/>
  <c r="D30" i="9"/>
  <c r="D18" i="9"/>
  <c r="D12" i="9"/>
  <c r="D6" i="9"/>
  <c r="D3" i="9"/>
  <c r="E3" i="9" s="1"/>
  <c r="E4" i="9" s="1"/>
  <c r="S134" i="8"/>
  <c r="N134" i="8"/>
  <c r="S133" i="8"/>
  <c r="N133" i="8"/>
  <c r="S132" i="8"/>
  <c r="N132" i="8"/>
  <c r="S131" i="8"/>
  <c r="N131" i="8"/>
  <c r="S130" i="8"/>
  <c r="N130" i="8"/>
  <c r="S129" i="8"/>
  <c r="N129" i="8"/>
  <c r="O129" i="8" s="1"/>
  <c r="Q129" i="8" s="1"/>
  <c r="S128" i="8"/>
  <c r="N128" i="8"/>
  <c r="S127" i="8"/>
  <c r="N127" i="8"/>
  <c r="S126" i="8"/>
  <c r="N126" i="8"/>
  <c r="S125" i="8"/>
  <c r="N125" i="8"/>
  <c r="S124" i="8"/>
  <c r="N124" i="8"/>
  <c r="S123" i="8"/>
  <c r="T123" i="8" s="1"/>
  <c r="N123" i="8"/>
  <c r="T122" i="8"/>
  <c r="O122" i="8"/>
  <c r="Q122" i="8" s="1"/>
  <c r="I122" i="8"/>
  <c r="J122" i="8" s="1"/>
  <c r="S110" i="8"/>
  <c r="N110" i="8"/>
  <c r="I110" i="8"/>
  <c r="D110" i="8"/>
  <c r="S109" i="8"/>
  <c r="N109" i="8"/>
  <c r="I109" i="8"/>
  <c r="D109" i="8"/>
  <c r="F109" i="8" s="1"/>
  <c r="S108" i="8"/>
  <c r="N108" i="8"/>
  <c r="I108" i="8"/>
  <c r="D108" i="8"/>
  <c r="F108" i="8" s="1"/>
  <c r="S107" i="8"/>
  <c r="N107" i="8"/>
  <c r="I107" i="8"/>
  <c r="D107" i="8"/>
  <c r="S106" i="8"/>
  <c r="N106" i="8"/>
  <c r="I106" i="8"/>
  <c r="D106" i="8"/>
  <c r="F106" i="8" s="1"/>
  <c r="T130" i="8" s="1"/>
  <c r="S105" i="8"/>
  <c r="N105" i="8"/>
  <c r="I105" i="8"/>
  <c r="J105" i="8" s="1"/>
  <c r="L105" i="8" s="1"/>
  <c r="D105" i="8"/>
  <c r="F105" i="8" s="1"/>
  <c r="S104" i="8"/>
  <c r="N104" i="8"/>
  <c r="I104" i="8"/>
  <c r="D104" i="8"/>
  <c r="F104" i="8" s="1"/>
  <c r="S103" i="8"/>
  <c r="N103" i="8"/>
  <c r="I103" i="8"/>
  <c r="D103" i="8"/>
  <c r="F103" i="8" s="1"/>
  <c r="J103" i="8" s="1"/>
  <c r="L103" i="8" s="1"/>
  <c r="S102" i="8"/>
  <c r="N102" i="8"/>
  <c r="I102" i="8"/>
  <c r="D102" i="8"/>
  <c r="F102" i="8" s="1"/>
  <c r="S101" i="8"/>
  <c r="N101" i="8"/>
  <c r="I101" i="8"/>
  <c r="D101" i="8"/>
  <c r="S100" i="8"/>
  <c r="N100" i="8"/>
  <c r="I100" i="8"/>
  <c r="D100" i="8"/>
  <c r="F100" i="8" s="1"/>
  <c r="S99" i="8"/>
  <c r="N99" i="8"/>
  <c r="O99" i="8" s="1"/>
  <c r="I99" i="8"/>
  <c r="F99" i="8"/>
  <c r="T98" i="8"/>
  <c r="O98" i="8"/>
  <c r="J98" i="8"/>
  <c r="S48" i="8"/>
  <c r="N48" i="8"/>
  <c r="S47" i="8"/>
  <c r="N47" i="8"/>
  <c r="S46" i="8"/>
  <c r="N46" i="8"/>
  <c r="S45" i="8"/>
  <c r="N45" i="8"/>
  <c r="S27" i="8"/>
  <c r="N27" i="8"/>
  <c r="I27" i="8"/>
  <c r="S26" i="8"/>
  <c r="N26" i="8"/>
  <c r="I26" i="8"/>
  <c r="S25" i="8"/>
  <c r="N25" i="8"/>
  <c r="I25" i="8"/>
  <c r="S24" i="8"/>
  <c r="N24" i="8"/>
  <c r="I24" i="8"/>
  <c r="J8" i="8"/>
  <c r="J7" i="8"/>
  <c r="L7" i="8" s="1"/>
  <c r="J6" i="8"/>
  <c r="J5" i="8"/>
  <c r="L5" i="8" s="1"/>
  <c r="O24" i="8" s="1"/>
  <c r="B40" i="7"/>
  <c r="D36" i="7"/>
  <c r="B33" i="7"/>
  <c r="D30" i="7"/>
  <c r="D18" i="7"/>
  <c r="D12" i="7"/>
  <c r="D6" i="7"/>
  <c r="D3" i="7"/>
  <c r="E3" i="7" s="1"/>
  <c r="B40" i="6"/>
  <c r="D36" i="6"/>
  <c r="B33" i="6"/>
  <c r="D30" i="6"/>
  <c r="D18" i="6"/>
  <c r="D12" i="6"/>
  <c r="D6" i="6"/>
  <c r="D3" i="6"/>
  <c r="E3" i="6" s="1"/>
  <c r="B40" i="5"/>
  <c r="D36" i="5"/>
  <c r="B33" i="5"/>
  <c r="D30" i="5"/>
  <c r="D18" i="5"/>
  <c r="D12" i="5"/>
  <c r="D6" i="5"/>
  <c r="D3" i="5"/>
  <c r="E3" i="5" s="1"/>
  <c r="E33" i="5" s="1"/>
  <c r="B40" i="4"/>
  <c r="D36" i="4"/>
  <c r="B33" i="4"/>
  <c r="D30" i="4"/>
  <c r="D18" i="4"/>
  <c r="D12" i="4"/>
  <c r="D6" i="4"/>
  <c r="D3" i="4"/>
  <c r="E3" i="4" s="1"/>
  <c r="B40" i="3"/>
  <c r="D36" i="3"/>
  <c r="B33" i="3"/>
  <c r="D30" i="3"/>
  <c r="D18" i="3"/>
  <c r="D12" i="3"/>
  <c r="D6" i="3"/>
  <c r="C5" i="3"/>
  <c r="D3" i="3"/>
  <c r="E3" i="3" s="1"/>
  <c r="B40" i="2"/>
  <c r="D36" i="2"/>
  <c r="B33" i="2"/>
  <c r="D30" i="2"/>
  <c r="D18" i="2"/>
  <c r="D12" i="2"/>
  <c r="D6" i="2"/>
  <c r="C5" i="2"/>
  <c r="D3" i="2"/>
  <c r="E3" i="2" s="1"/>
  <c r="E33" i="2" s="1"/>
  <c r="C122" i="1"/>
  <c r="C121" i="1"/>
  <c r="C120" i="1"/>
  <c r="D120" i="1" s="1"/>
  <c r="H120" i="1" s="1"/>
  <c r="C119" i="1"/>
  <c r="D119" i="1" s="1"/>
  <c r="H119" i="1" s="1"/>
  <c r="C118" i="1"/>
  <c r="D118" i="1" s="1"/>
  <c r="H118" i="1" s="1"/>
  <c r="C117" i="1"/>
  <c r="C116" i="1"/>
  <c r="C115" i="1"/>
  <c r="C114" i="1"/>
  <c r="C113" i="1"/>
  <c r="C112" i="1"/>
  <c r="C111" i="1"/>
  <c r="C104" i="1"/>
  <c r="C103" i="1"/>
  <c r="C102" i="1"/>
  <c r="D102" i="1" s="1"/>
  <c r="H102" i="1" s="1"/>
  <c r="C101" i="1"/>
  <c r="D101" i="1" s="1"/>
  <c r="H101" i="1" s="1"/>
  <c r="C100" i="1"/>
  <c r="D100" i="1" s="1"/>
  <c r="H100" i="1" s="1"/>
  <c r="C99" i="1"/>
  <c r="C98" i="1"/>
  <c r="C97" i="1"/>
  <c r="C96" i="1"/>
  <c r="C95" i="1"/>
  <c r="C94" i="1"/>
  <c r="C93" i="1"/>
  <c r="C68" i="1"/>
  <c r="C67" i="1"/>
  <c r="D67" i="1" s="1"/>
  <c r="H67" i="1" s="1"/>
  <c r="C66" i="1"/>
  <c r="D66" i="1" s="1"/>
  <c r="H66" i="1" s="1"/>
  <c r="C65" i="1"/>
  <c r="D65" i="1" s="1"/>
  <c r="H65" i="1" s="1"/>
  <c r="C64" i="1"/>
  <c r="D64" i="1" s="1"/>
  <c r="H64" i="1" s="1"/>
  <c r="C63" i="1"/>
  <c r="C62" i="1"/>
  <c r="C61" i="1"/>
  <c r="C60" i="1"/>
  <c r="C59" i="1"/>
  <c r="C58" i="1"/>
  <c r="C57" i="1"/>
  <c r="C50" i="1"/>
  <c r="C49" i="1"/>
  <c r="D49" i="1" s="1"/>
  <c r="H49" i="1" s="1"/>
  <c r="C48" i="1"/>
  <c r="D48" i="1" s="1"/>
  <c r="H48" i="1" s="1"/>
  <c r="C47" i="1"/>
  <c r="D47" i="1" s="1"/>
  <c r="H47" i="1" s="1"/>
  <c r="C46" i="1"/>
  <c r="C45" i="1"/>
  <c r="C44" i="1"/>
  <c r="C43" i="1"/>
  <c r="C42" i="1"/>
  <c r="C41" i="1"/>
  <c r="C40" i="1"/>
  <c r="C39" i="1"/>
  <c r="C32" i="1"/>
  <c r="C31" i="1"/>
  <c r="C30" i="1"/>
  <c r="D30" i="1" s="1"/>
  <c r="H30" i="1" s="1"/>
  <c r="C29" i="1"/>
  <c r="C28" i="1"/>
  <c r="D28" i="1" s="1"/>
  <c r="H28" i="1" s="1"/>
  <c r="C27" i="1"/>
  <c r="C26" i="1"/>
  <c r="C25" i="1"/>
  <c r="C24" i="1"/>
  <c r="C23" i="1"/>
  <c r="C22" i="1"/>
  <c r="C21" i="1"/>
  <c r="D9" i="1"/>
  <c r="F9" i="1" s="1"/>
  <c r="D8" i="1"/>
  <c r="F8" i="1" s="1"/>
  <c r="D44" i="1" s="1"/>
  <c r="H44" i="1" s="1"/>
  <c r="D7" i="1"/>
  <c r="F7" i="1" s="1"/>
  <c r="D43" i="1" s="1"/>
  <c r="H43" i="1" s="1"/>
  <c r="D6" i="1"/>
  <c r="F6" i="1" s="1"/>
  <c r="D114" i="1" s="1"/>
  <c r="D5" i="1"/>
  <c r="D4" i="1"/>
  <c r="F4" i="1" s="1"/>
  <c r="D3" i="1"/>
  <c r="F3" i="1" s="1"/>
  <c r="B24" i="38" l="1"/>
  <c r="D24" i="38" s="1"/>
  <c r="E27" i="38" s="1"/>
  <c r="E15" i="38"/>
  <c r="E21" i="38"/>
  <c r="E4" i="38"/>
  <c r="E30" i="38" s="1"/>
  <c r="E31" i="38" s="1"/>
  <c r="E32" i="38" s="1"/>
  <c r="E33" i="38"/>
  <c r="E9" i="38"/>
  <c r="B24" i="36"/>
  <c r="D24" i="36" s="1"/>
  <c r="E27" i="36" s="1"/>
  <c r="E21" i="36"/>
  <c r="E9" i="36"/>
  <c r="E33" i="36"/>
  <c r="E15" i="36"/>
  <c r="E4" i="36"/>
  <c r="E12" i="36" s="1"/>
  <c r="E13" i="36" s="1"/>
  <c r="E14" i="36" s="1"/>
  <c r="B24" i="34"/>
  <c r="D24" i="34" s="1"/>
  <c r="I124" i="8"/>
  <c r="E9" i="18"/>
  <c r="D37" i="15"/>
  <c r="D62" i="1"/>
  <c r="H62" i="1" s="1"/>
  <c r="T126" i="8"/>
  <c r="U126" i="8" s="1"/>
  <c r="AK102" i="8" s="1"/>
  <c r="E15" i="6"/>
  <c r="C17" i="21"/>
  <c r="E15" i="18"/>
  <c r="E18" i="10"/>
  <c r="I45" i="8"/>
  <c r="J45" i="8" s="1"/>
  <c r="L45" i="8" s="1"/>
  <c r="O102" i="8"/>
  <c r="Q102" i="8" s="1"/>
  <c r="T127" i="8"/>
  <c r="U127" i="8" s="1"/>
  <c r="AK103" i="8" s="1"/>
  <c r="T45" i="8"/>
  <c r="U45" i="8" s="1"/>
  <c r="V45" i="8" s="1"/>
  <c r="E35" i="23"/>
  <c r="E30" i="23"/>
  <c r="E20" i="25"/>
  <c r="T103" i="8"/>
  <c r="V103" i="8" s="1"/>
  <c r="B24" i="11"/>
  <c r="D24" i="11" s="1"/>
  <c r="C40" i="11" s="1"/>
  <c r="I134" i="8"/>
  <c r="D98" i="1"/>
  <c r="H98" i="1" s="1"/>
  <c r="E30" i="24"/>
  <c r="O47" i="8"/>
  <c r="Q47" i="8" s="1"/>
  <c r="C77" i="1"/>
  <c r="D77" i="1" s="1"/>
  <c r="H77" i="1" s="1"/>
  <c r="E21" i="32"/>
  <c r="E21" i="35"/>
  <c r="E15" i="35"/>
  <c r="B24" i="35"/>
  <c r="D24" i="35" s="1"/>
  <c r="E4" i="35"/>
  <c r="E18" i="35" s="1"/>
  <c r="E19" i="35" s="1"/>
  <c r="E20" i="35" s="1"/>
  <c r="E9" i="35"/>
  <c r="E33" i="35"/>
  <c r="E30" i="25"/>
  <c r="E4" i="25"/>
  <c r="D28" i="25" s="1"/>
  <c r="E35" i="25"/>
  <c r="O124" i="8"/>
  <c r="Q124" i="8" s="1"/>
  <c r="O106" i="8"/>
  <c r="Q106" i="8" s="1"/>
  <c r="E12" i="25"/>
  <c r="D13" i="25"/>
  <c r="E13" i="25" s="1"/>
  <c r="E14" i="25" s="1"/>
  <c r="E15" i="25"/>
  <c r="O26" i="8"/>
  <c r="Q26" i="8" s="1"/>
  <c r="E21" i="12"/>
  <c r="E4" i="12"/>
  <c r="D37" i="12" s="1"/>
  <c r="E9" i="9"/>
  <c r="O100" i="8"/>
  <c r="Q100" i="8" s="1"/>
  <c r="E21" i="2"/>
  <c r="E33" i="32"/>
  <c r="E12" i="12"/>
  <c r="T124" i="8"/>
  <c r="B24" i="14"/>
  <c r="D24" i="14" s="1"/>
  <c r="E4" i="14"/>
  <c r="D19" i="14" s="1"/>
  <c r="E15" i="2"/>
  <c r="J124" i="8"/>
  <c r="L124" i="8" s="1"/>
  <c r="E33" i="12"/>
  <c r="T26" i="8"/>
  <c r="V26" i="8" s="1"/>
  <c r="D60" i="1"/>
  <c r="H60" i="1" s="1"/>
  <c r="E6" i="15"/>
  <c r="D7" i="15"/>
  <c r="C5" i="15" s="1"/>
  <c r="D28" i="23"/>
  <c r="J9" i="33"/>
  <c r="J7" i="33" s="1"/>
  <c r="N19" i="33"/>
  <c r="N17" i="33" s="1"/>
  <c r="L19" i="33"/>
  <c r="L17" i="33" s="1"/>
  <c r="D13" i="23"/>
  <c r="L9" i="33"/>
  <c r="L7" i="33" s="1"/>
  <c r="I48" i="8"/>
  <c r="F5" i="1"/>
  <c r="D95" i="1" s="1"/>
  <c r="H95" i="1" s="1"/>
  <c r="I14" i="33"/>
  <c r="I12" i="33" s="1"/>
  <c r="T100" i="8"/>
  <c r="V100" i="8" s="1"/>
  <c r="J19" i="33"/>
  <c r="J17" i="33" s="1"/>
  <c r="D24" i="1"/>
  <c r="H24" i="1" s="1"/>
  <c r="E25" i="23"/>
  <c r="D63" i="1"/>
  <c r="H63" i="1" s="1"/>
  <c r="I47" i="8"/>
  <c r="J47" i="8" s="1"/>
  <c r="L47" i="8" s="1"/>
  <c r="N9" i="33"/>
  <c r="N7" i="33" s="1"/>
  <c r="E36" i="15"/>
  <c r="E37" i="15" s="1"/>
  <c r="C86" i="1"/>
  <c r="J14" i="33"/>
  <c r="J12" i="33" s="1"/>
  <c r="K19" i="33"/>
  <c r="K17" i="33" s="1"/>
  <c r="T129" i="8"/>
  <c r="D33" i="25"/>
  <c r="D33" i="23"/>
  <c r="D117" i="1"/>
  <c r="H117" i="1" s="1"/>
  <c r="O126" i="8"/>
  <c r="Q126" i="8" s="1"/>
  <c r="K14" i="33"/>
  <c r="K12" i="33" s="1"/>
  <c r="O105" i="8"/>
  <c r="Q105" i="8" s="1"/>
  <c r="T105" i="8"/>
  <c r="V105" i="8" s="1"/>
  <c r="M19" i="33"/>
  <c r="M17" i="33" s="1"/>
  <c r="D27" i="1"/>
  <c r="H27" i="1" s="1"/>
  <c r="I127" i="8"/>
  <c r="J127" i="8" s="1"/>
  <c r="L127" i="8" s="1"/>
  <c r="E33" i="9"/>
  <c r="E18" i="29"/>
  <c r="C85" i="1"/>
  <c r="D45" i="1"/>
  <c r="H45" i="1" s="1"/>
  <c r="D13" i="9"/>
  <c r="M14" i="33"/>
  <c r="M12" i="33" s="1"/>
  <c r="I29" i="33"/>
  <c r="I27" i="33" s="1"/>
  <c r="I19" i="33"/>
  <c r="I17" i="33" s="1"/>
  <c r="D99" i="1"/>
  <c r="H99" i="1" s="1"/>
  <c r="D5" i="33"/>
  <c r="D29" i="33" s="1"/>
  <c r="D27" i="33" s="1"/>
  <c r="D25" i="1"/>
  <c r="H25" i="1" s="1"/>
  <c r="E4" i="23"/>
  <c r="D8" i="23" s="1"/>
  <c r="B17" i="23"/>
  <c r="D26" i="1"/>
  <c r="H26" i="1" s="1"/>
  <c r="E33" i="6"/>
  <c r="O127" i="8"/>
  <c r="Q127" i="8" s="1"/>
  <c r="E15" i="9"/>
  <c r="C80" i="1"/>
  <c r="D80" i="1" s="1"/>
  <c r="H80" i="1" s="1"/>
  <c r="C82" i="1"/>
  <c r="D82" i="1" s="1"/>
  <c r="H82" i="1" s="1"/>
  <c r="C81" i="1"/>
  <c r="D81" i="1" s="1"/>
  <c r="H81" i="1" s="1"/>
  <c r="E9" i="34"/>
  <c r="E21" i="34"/>
  <c r="E27" i="34"/>
  <c r="E15" i="34"/>
  <c r="E4" i="34"/>
  <c r="E36" i="34" s="1"/>
  <c r="E33" i="34"/>
  <c r="C40" i="34"/>
  <c r="E15" i="20"/>
  <c r="B24" i="20"/>
  <c r="D24" i="20" s="1"/>
  <c r="E33" i="20"/>
  <c r="E4" i="20"/>
  <c r="E15" i="26"/>
  <c r="D40" i="1"/>
  <c r="H40" i="1" s="1"/>
  <c r="B24" i="13"/>
  <c r="D24" i="13" s="1"/>
  <c r="E4" i="13"/>
  <c r="D31" i="13" s="1"/>
  <c r="E15" i="21"/>
  <c r="E4" i="21"/>
  <c r="E7" i="21" s="1"/>
  <c r="B17" i="21"/>
  <c r="D17" i="21" s="1"/>
  <c r="E35" i="21"/>
  <c r="Q24" i="8"/>
  <c r="E9" i="13"/>
  <c r="U129" i="8"/>
  <c r="AK105" i="8" s="1"/>
  <c r="B24" i="30"/>
  <c r="D24" i="30" s="1"/>
  <c r="C40" i="30" s="1"/>
  <c r="E21" i="30"/>
  <c r="E4" i="30"/>
  <c r="E18" i="30" s="1"/>
  <c r="E33" i="30"/>
  <c r="E6" i="30"/>
  <c r="T131" i="8"/>
  <c r="E9" i="29"/>
  <c r="D7" i="29"/>
  <c r="E6" i="29"/>
  <c r="B24" i="29"/>
  <c r="D24" i="29" s="1"/>
  <c r="C40" i="29" s="1"/>
  <c r="O108" i="8"/>
  <c r="Q108" i="8" s="1"/>
  <c r="T132" i="8"/>
  <c r="AK99" i="8"/>
  <c r="E33" i="4"/>
  <c r="B24" i="4"/>
  <c r="D24" i="4" s="1"/>
  <c r="C40" i="4" s="1"/>
  <c r="E21" i="4"/>
  <c r="E15" i="4"/>
  <c r="E4" i="4"/>
  <c r="D37" i="4" s="1"/>
  <c r="U130" i="8"/>
  <c r="AK106" i="8" s="1"/>
  <c r="D93" i="1"/>
  <c r="D39" i="1"/>
  <c r="D111" i="1"/>
  <c r="D94" i="1"/>
  <c r="H94" i="1" s="1"/>
  <c r="D57" i="1"/>
  <c r="D7" i="20"/>
  <c r="D58" i="1"/>
  <c r="D112" i="1"/>
  <c r="D22" i="1"/>
  <c r="H22" i="1" s="1"/>
  <c r="D32" i="1" s="1"/>
  <c r="H32" i="1" s="1"/>
  <c r="C4" i="33"/>
  <c r="C5" i="33" s="1"/>
  <c r="E25" i="22"/>
  <c r="B17" i="22"/>
  <c r="D17" i="22" s="1"/>
  <c r="E4" i="22"/>
  <c r="E32" i="22" s="1"/>
  <c r="H4" i="33"/>
  <c r="E33" i="27"/>
  <c r="E15" i="27"/>
  <c r="E4" i="27"/>
  <c r="D31" i="27" s="1"/>
  <c r="B24" i="27"/>
  <c r="D24" i="27" s="1"/>
  <c r="C40" i="27" s="1"/>
  <c r="Q99" i="8"/>
  <c r="B24" i="7"/>
  <c r="D24" i="7" s="1"/>
  <c r="C40" i="7" s="1"/>
  <c r="E9" i="7"/>
  <c r="T109" i="8"/>
  <c r="V109" i="8" s="1"/>
  <c r="O109" i="8"/>
  <c r="Q109" i="8" s="1"/>
  <c r="D37" i="9"/>
  <c r="D19" i="9"/>
  <c r="E33" i="10"/>
  <c r="D31" i="10"/>
  <c r="E30" i="10"/>
  <c r="C79" i="1"/>
  <c r="D79" i="1" s="1"/>
  <c r="H79" i="1" s="1"/>
  <c r="C83" i="1"/>
  <c r="D83" i="1" s="1"/>
  <c r="H83" i="1" s="1"/>
  <c r="D29" i="1"/>
  <c r="H29" i="1" s="1"/>
  <c r="E4" i="3"/>
  <c r="E9" i="3"/>
  <c r="E4" i="7"/>
  <c r="O103" i="8"/>
  <c r="Q103" i="8" s="1"/>
  <c r="J106" i="8"/>
  <c r="L106" i="8" s="1"/>
  <c r="J109" i="8"/>
  <c r="L109" i="8" s="1"/>
  <c r="E36" i="9"/>
  <c r="E6" i="9"/>
  <c r="E33" i="13"/>
  <c r="E33" i="16"/>
  <c r="E21" i="27"/>
  <c r="D19" i="27"/>
  <c r="E18" i="27"/>
  <c r="E21" i="5"/>
  <c r="O123" i="8"/>
  <c r="D7" i="9"/>
  <c r="E21" i="28"/>
  <c r="E10" i="22"/>
  <c r="E35" i="24"/>
  <c r="F110" i="8"/>
  <c r="O110" i="8" s="1"/>
  <c r="Q110" i="8" s="1"/>
  <c r="E15" i="22"/>
  <c r="E12" i="22"/>
  <c r="D46" i="1"/>
  <c r="H46" i="1" s="1"/>
  <c r="T46" i="8"/>
  <c r="T128" i="8"/>
  <c r="O104" i="8"/>
  <c r="Q104" i="8" s="1"/>
  <c r="I133" i="8"/>
  <c r="J133" i="8" s="1"/>
  <c r="L133" i="8" s="1"/>
  <c r="B24" i="18"/>
  <c r="D24" i="18" s="1"/>
  <c r="E21" i="18"/>
  <c r="D28" i="22"/>
  <c r="E27" i="22"/>
  <c r="D61" i="1"/>
  <c r="H61" i="1" s="1"/>
  <c r="E15" i="19"/>
  <c r="E33" i="19"/>
  <c r="E4" i="19"/>
  <c r="L6" i="8"/>
  <c r="I46" i="8"/>
  <c r="J46" i="8" s="1"/>
  <c r="L46" i="8" s="1"/>
  <c r="C78" i="1"/>
  <c r="D78" i="1" s="1"/>
  <c r="H78" i="1" s="1"/>
  <c r="E15" i="3"/>
  <c r="D96" i="1"/>
  <c r="H96" i="1" s="1"/>
  <c r="J104" i="8"/>
  <c r="L104" i="8" s="1"/>
  <c r="E12" i="9"/>
  <c r="E13" i="9" s="1"/>
  <c r="E14" i="9" s="1"/>
  <c r="E4" i="17"/>
  <c r="E18" i="17" s="1"/>
  <c r="E21" i="17"/>
  <c r="E4" i="18"/>
  <c r="D31" i="18" s="1"/>
  <c r="E21" i="20"/>
  <c r="D19" i="20"/>
  <c r="E19" i="20" s="1"/>
  <c r="E20" i="20" s="1"/>
  <c r="D8" i="25"/>
  <c r="E15" i="30"/>
  <c r="E15" i="32"/>
  <c r="E4" i="11"/>
  <c r="E18" i="11" s="1"/>
  <c r="E15" i="7"/>
  <c r="E9" i="4"/>
  <c r="E21" i="7"/>
  <c r="L8" i="8"/>
  <c r="E12" i="10"/>
  <c r="D19" i="15"/>
  <c r="D13" i="15"/>
  <c r="E18" i="15"/>
  <c r="E18" i="20"/>
  <c r="D97" i="1"/>
  <c r="H97" i="1" s="1"/>
  <c r="E21" i="6"/>
  <c r="T104" i="8"/>
  <c r="V104" i="8" s="1"/>
  <c r="I129" i="8"/>
  <c r="J129" i="8" s="1"/>
  <c r="L129" i="8" s="1"/>
  <c r="O133" i="8"/>
  <c r="Q133" i="8" s="1"/>
  <c r="D13" i="10"/>
  <c r="E21" i="16"/>
  <c r="E4" i="16"/>
  <c r="D7" i="16" s="1"/>
  <c r="E6" i="18"/>
  <c r="D19" i="19"/>
  <c r="B22" i="25"/>
  <c r="D22" i="25" s="1"/>
  <c r="E9" i="27"/>
  <c r="E10" i="23"/>
  <c r="J24" i="8"/>
  <c r="I123" i="8"/>
  <c r="J123" i="8" s="1"/>
  <c r="J99" i="8"/>
  <c r="E15" i="12"/>
  <c r="E15" i="17"/>
  <c r="E21" i="19"/>
  <c r="E30" i="22"/>
  <c r="B24" i="32"/>
  <c r="D24" i="32" s="1"/>
  <c r="E4" i="5"/>
  <c r="D19" i="5" s="1"/>
  <c r="E9" i="11"/>
  <c r="C17" i="23"/>
  <c r="D17" i="23" s="1"/>
  <c r="E15" i="23"/>
  <c r="E21" i="10"/>
  <c r="E15" i="11"/>
  <c r="E6" i="14"/>
  <c r="E25" i="21"/>
  <c r="B24" i="28"/>
  <c r="D24" i="28" s="1"/>
  <c r="E4" i="28"/>
  <c r="D31" i="28" s="1"/>
  <c r="F101" i="8"/>
  <c r="I125" i="8"/>
  <c r="J125" i="8" s="1"/>
  <c r="L125" i="8" s="1"/>
  <c r="E9" i="20"/>
  <c r="D21" i="1"/>
  <c r="T24" i="8"/>
  <c r="O45" i="8"/>
  <c r="B24" i="5"/>
  <c r="D24" i="5" s="1"/>
  <c r="E15" i="14"/>
  <c r="E9" i="28"/>
  <c r="T133" i="8"/>
  <c r="E9" i="16"/>
  <c r="B24" i="19"/>
  <c r="D24" i="19" s="1"/>
  <c r="C40" i="19" s="1"/>
  <c r="T47" i="8"/>
  <c r="E30" i="9"/>
  <c r="G114" i="1"/>
  <c r="H114" i="1" s="1"/>
  <c r="T102" i="8"/>
  <c r="V102" i="8" s="1"/>
  <c r="J108" i="8"/>
  <c r="L108" i="8" s="1"/>
  <c r="I126" i="8"/>
  <c r="J126" i="8" s="1"/>
  <c r="L126" i="8" s="1"/>
  <c r="I130" i="8"/>
  <c r="J130" i="8" s="1"/>
  <c r="L130" i="8" s="1"/>
  <c r="T134" i="8"/>
  <c r="D31" i="9"/>
  <c r="B24" i="10"/>
  <c r="D24" i="10" s="1"/>
  <c r="E15" i="15"/>
  <c r="B24" i="16"/>
  <c r="D24" i="16" s="1"/>
  <c r="E30" i="21"/>
  <c r="E21" i="14"/>
  <c r="E12" i="15"/>
  <c r="E10" i="24"/>
  <c r="E4" i="33"/>
  <c r="E5" i="33" s="1"/>
  <c r="E4" i="24"/>
  <c r="E7" i="24" s="1"/>
  <c r="E9" i="26"/>
  <c r="G4" i="33"/>
  <c r="G5" i="33" s="1"/>
  <c r="B24" i="26"/>
  <c r="D24" i="26" s="1"/>
  <c r="E4" i="26"/>
  <c r="D31" i="26" s="1"/>
  <c r="E6" i="20"/>
  <c r="E21" i="3"/>
  <c r="B24" i="17"/>
  <c r="D24" i="17" s="1"/>
  <c r="I132" i="8"/>
  <c r="J132" i="8" s="1"/>
  <c r="L132" i="8" s="1"/>
  <c r="E9" i="5"/>
  <c r="B24" i="12"/>
  <c r="D24" i="12" s="1"/>
  <c r="C40" i="12" s="1"/>
  <c r="E15" i="13"/>
  <c r="D42" i="1"/>
  <c r="H42" i="1" s="1"/>
  <c r="D116" i="1"/>
  <c r="H116" i="1" s="1"/>
  <c r="E9" i="2"/>
  <c r="O130" i="8"/>
  <c r="Q130" i="8" s="1"/>
  <c r="C40" i="20"/>
  <c r="D33" i="21"/>
  <c r="B17" i="24"/>
  <c r="E21" i="26"/>
  <c r="E9" i="30"/>
  <c r="E35" i="22"/>
  <c r="T99" i="8"/>
  <c r="E21" i="13"/>
  <c r="E21" i="15"/>
  <c r="E33" i="18"/>
  <c r="C17" i="24"/>
  <c r="E32" i="25"/>
  <c r="E33" i="25" s="1"/>
  <c r="E34" i="25" s="1"/>
  <c r="O132" i="8"/>
  <c r="Q132" i="8" s="1"/>
  <c r="D19" i="10"/>
  <c r="E19" i="10" s="1"/>
  <c r="E20" i="10" s="1"/>
  <c r="E6" i="10"/>
  <c r="C40" i="13"/>
  <c r="C75" i="1"/>
  <c r="D75" i="1" s="1"/>
  <c r="B24" i="3"/>
  <c r="D24" i="3" s="1"/>
  <c r="C76" i="1"/>
  <c r="D76" i="1" s="1"/>
  <c r="H76" i="1" s="1"/>
  <c r="E15" i="5"/>
  <c r="E33" i="3"/>
  <c r="E33" i="7"/>
  <c r="J26" i="8"/>
  <c r="L26" i="8" s="1"/>
  <c r="T108" i="8"/>
  <c r="V108" i="8" s="1"/>
  <c r="B24" i="9"/>
  <c r="D24" i="9" s="1"/>
  <c r="E33" i="11"/>
  <c r="B24" i="15"/>
  <c r="D24" i="15" s="1"/>
  <c r="D13" i="20"/>
  <c r="E9" i="32"/>
  <c r="E4" i="32"/>
  <c r="E30" i="32" s="1"/>
  <c r="E33" i="14"/>
  <c r="D14" i="33"/>
  <c r="D12" i="33" s="1"/>
  <c r="D9" i="33"/>
  <c r="D7" i="33" s="1"/>
  <c r="E25" i="24"/>
  <c r="D37" i="29"/>
  <c r="D19" i="29"/>
  <c r="I128" i="8"/>
  <c r="J128" i="8" s="1"/>
  <c r="L128" i="8" s="1"/>
  <c r="T106" i="8"/>
  <c r="V106" i="8" s="1"/>
  <c r="E21" i="9"/>
  <c r="E18" i="9"/>
  <c r="E10" i="21"/>
  <c r="D8" i="21"/>
  <c r="E33" i="29"/>
  <c r="D31" i="29"/>
  <c r="M9" i="33"/>
  <c r="M7" i="33" s="1"/>
  <c r="O128" i="8"/>
  <c r="Q128" i="8" s="1"/>
  <c r="E30" i="29"/>
  <c r="B24" i="6"/>
  <c r="D24" i="6" s="1"/>
  <c r="E4" i="6"/>
  <c r="D31" i="6" s="1"/>
  <c r="F107" i="8"/>
  <c r="J107" i="8" s="1"/>
  <c r="L107" i="8" s="1"/>
  <c r="I131" i="8"/>
  <c r="D7" i="10"/>
  <c r="E21" i="11"/>
  <c r="E9" i="14"/>
  <c r="E15" i="16"/>
  <c r="O3" i="33"/>
  <c r="J102" i="8"/>
  <c r="L102" i="8" s="1"/>
  <c r="E33" i="17"/>
  <c r="E9" i="19"/>
  <c r="D23" i="23"/>
  <c r="E15" i="29"/>
  <c r="E9" i="10"/>
  <c r="E9" i="17"/>
  <c r="E12" i="29"/>
  <c r="C40" i="28"/>
  <c r="D7" i="28"/>
  <c r="E6" i="28"/>
  <c r="B24" i="2"/>
  <c r="D24" i="2" s="1"/>
  <c r="E36" i="10"/>
  <c r="D115" i="1"/>
  <c r="H115" i="1" s="1"/>
  <c r="E9" i="12"/>
  <c r="E33" i="15"/>
  <c r="D31" i="15"/>
  <c r="D13" i="29"/>
  <c r="E36" i="29"/>
  <c r="D19" i="33"/>
  <c r="D17" i="33" s="1"/>
  <c r="C84" i="1"/>
  <c r="D84" i="1" s="1"/>
  <c r="H84" i="1" s="1"/>
  <c r="E4" i="2"/>
  <c r="E6" i="2" s="1"/>
  <c r="E7" i="2" s="1"/>
  <c r="E8" i="2" s="1"/>
  <c r="E9" i="6"/>
  <c r="J100" i="8"/>
  <c r="L100" i="8" s="1"/>
  <c r="E15" i="10"/>
  <c r="D37" i="10"/>
  <c r="E30" i="15"/>
  <c r="E10" i="25"/>
  <c r="F4" i="33"/>
  <c r="F5" i="33" s="1"/>
  <c r="F4" i="31"/>
  <c r="E3" i="31"/>
  <c r="E27" i="25"/>
  <c r="E28" i="25" s="1"/>
  <c r="E29" i="25" s="1"/>
  <c r="H5" i="33"/>
  <c r="E36" i="12"/>
  <c r="E22" i="22"/>
  <c r="U122" i="8"/>
  <c r="AK98" i="8" s="1"/>
  <c r="E12" i="20"/>
  <c r="C40" i="38" l="1"/>
  <c r="E18" i="38"/>
  <c r="E19" i="38" s="1"/>
  <c r="E20" i="38" s="1"/>
  <c r="E6" i="38"/>
  <c r="E7" i="38" s="1"/>
  <c r="E8" i="38" s="1"/>
  <c r="E36" i="38"/>
  <c r="E12" i="38"/>
  <c r="E13" i="38" s="1"/>
  <c r="E14" i="38" s="1"/>
  <c r="D37" i="38"/>
  <c r="C35" i="38" s="1"/>
  <c r="E24" i="38"/>
  <c r="E25" i="38" s="1"/>
  <c r="E26" i="38" s="1"/>
  <c r="C40" i="36"/>
  <c r="E36" i="36"/>
  <c r="E6" i="36"/>
  <c r="E7" i="36" s="1"/>
  <c r="E8" i="36" s="1"/>
  <c r="E30" i="36"/>
  <c r="E31" i="36" s="1"/>
  <c r="E32" i="36" s="1"/>
  <c r="E18" i="36"/>
  <c r="E19" i="36" s="1"/>
  <c r="E20" i="36" s="1"/>
  <c r="E24" i="36"/>
  <c r="E25" i="36" s="1"/>
  <c r="E26" i="36" s="1"/>
  <c r="D37" i="36"/>
  <c r="C35" i="36" s="1"/>
  <c r="D7" i="18"/>
  <c r="D31" i="12"/>
  <c r="D13" i="28"/>
  <c r="E36" i="17"/>
  <c r="E37" i="17" s="1"/>
  <c r="E6" i="12"/>
  <c r="E7" i="15"/>
  <c r="E8" i="15" s="1"/>
  <c r="E19" i="9"/>
  <c r="E20" i="9" s="1"/>
  <c r="D7" i="12"/>
  <c r="D13" i="30"/>
  <c r="D37" i="28"/>
  <c r="E27" i="11"/>
  <c r="E13" i="29"/>
  <c r="E14" i="29" s="1"/>
  <c r="E7" i="25"/>
  <c r="E8" i="25" s="1"/>
  <c r="E9" i="25" s="1"/>
  <c r="E18" i="12"/>
  <c r="E24" i="14"/>
  <c r="E31" i="15"/>
  <c r="E32" i="15" s="1"/>
  <c r="D7" i="30"/>
  <c r="E7" i="30" s="1"/>
  <c r="E8" i="30" s="1"/>
  <c r="D18" i="25"/>
  <c r="E18" i="25" s="1"/>
  <c r="E19" i="25" s="1"/>
  <c r="D113" i="1"/>
  <c r="D37" i="17"/>
  <c r="D17" i="24"/>
  <c r="E20" i="24" s="1"/>
  <c r="E17" i="25"/>
  <c r="D41" i="1"/>
  <c r="H41" i="1" s="1"/>
  <c r="E30" i="35"/>
  <c r="E31" i="35" s="1"/>
  <c r="E32" i="35" s="1"/>
  <c r="E12" i="35"/>
  <c r="E13" i="35" s="1"/>
  <c r="E14" i="35" s="1"/>
  <c r="E6" i="35"/>
  <c r="E7" i="35" s="1"/>
  <c r="E8" i="35" s="1"/>
  <c r="D37" i="35"/>
  <c r="E36" i="35"/>
  <c r="E37" i="35" s="1"/>
  <c r="C40" i="35"/>
  <c r="E24" i="35"/>
  <c r="E25" i="35" s="1"/>
  <c r="E26" i="35" s="1"/>
  <c r="E27" i="35"/>
  <c r="E27" i="14"/>
  <c r="E12" i="30"/>
  <c r="E12" i="14"/>
  <c r="E19" i="29"/>
  <c r="E20" i="29" s="1"/>
  <c r="E12" i="18"/>
  <c r="D13" i="11"/>
  <c r="D13" i="4"/>
  <c r="E6" i="4"/>
  <c r="E19" i="27"/>
  <c r="E20" i="27" s="1"/>
  <c r="D19" i="26"/>
  <c r="D37" i="14"/>
  <c r="E36" i="2"/>
  <c r="E37" i="2" s="1"/>
  <c r="D31" i="14"/>
  <c r="D25" i="14"/>
  <c r="D19" i="12"/>
  <c r="E19" i="12" s="1"/>
  <c r="E20" i="12" s="1"/>
  <c r="D13" i="12"/>
  <c r="E13" i="12" s="1"/>
  <c r="E14" i="12" s="1"/>
  <c r="U124" i="8"/>
  <c r="AK100" i="8"/>
  <c r="C40" i="14"/>
  <c r="E30" i="18"/>
  <c r="E31" i="18" s="1"/>
  <c r="E32" i="18" s="1"/>
  <c r="D13" i="22"/>
  <c r="E13" i="22" s="1"/>
  <c r="E14" i="22" s="1"/>
  <c r="E7" i="23"/>
  <c r="E8" i="23" s="1"/>
  <c r="E9" i="23" s="1"/>
  <c r="O107" i="8"/>
  <c r="Q107" i="8" s="1"/>
  <c r="O134" i="8"/>
  <c r="Q134" i="8" s="1"/>
  <c r="D13" i="14"/>
  <c r="E18" i="14"/>
  <c r="E19" i="14" s="1"/>
  <c r="E20" i="14" s="1"/>
  <c r="E12" i="24"/>
  <c r="E30" i="27"/>
  <c r="E31" i="27" s="1"/>
  <c r="E32" i="27" s="1"/>
  <c r="D37" i="26"/>
  <c r="E37" i="26" s="1"/>
  <c r="D19" i="4"/>
  <c r="D19" i="28"/>
  <c r="E30" i="2"/>
  <c r="E31" i="2" s="1"/>
  <c r="E32" i="2" s="1"/>
  <c r="E36" i="14"/>
  <c r="E37" i="14" s="1"/>
  <c r="E30" i="12"/>
  <c r="E31" i="12" s="1"/>
  <c r="E32" i="12" s="1"/>
  <c r="E13" i="30"/>
  <c r="E14" i="30" s="1"/>
  <c r="E18" i="26"/>
  <c r="D13" i="24"/>
  <c r="E36" i="4"/>
  <c r="E37" i="4" s="1"/>
  <c r="E27" i="23"/>
  <c r="E28" i="23" s="1"/>
  <c r="E29" i="23" s="1"/>
  <c r="E12" i="23"/>
  <c r="E13" i="23" s="1"/>
  <c r="E14" i="23" s="1"/>
  <c r="E13" i="20"/>
  <c r="E14" i="20" s="1"/>
  <c r="E22" i="24"/>
  <c r="D23" i="24"/>
  <c r="D19" i="11"/>
  <c r="E19" i="11" s="1"/>
  <c r="E20" i="11" s="1"/>
  <c r="T110" i="8"/>
  <c r="V110" i="8" s="1"/>
  <c r="D37" i="2"/>
  <c r="E30" i="13"/>
  <c r="E32" i="23"/>
  <c r="E33" i="23" s="1"/>
  <c r="E34" i="23" s="1"/>
  <c r="D23" i="1"/>
  <c r="H23" i="1" s="1"/>
  <c r="D7" i="4"/>
  <c r="E7" i="4" s="1"/>
  <c r="E8" i="4" s="1"/>
  <c r="E31" i="9"/>
  <c r="E32" i="9" s="1"/>
  <c r="D23" i="22"/>
  <c r="E23" i="22" s="1"/>
  <c r="E24" i="22" s="1"/>
  <c r="E22" i="23"/>
  <c r="D7" i="14"/>
  <c r="C5" i="14" s="1"/>
  <c r="D59" i="1"/>
  <c r="H59" i="1" s="1"/>
  <c r="E30" i="14"/>
  <c r="E37" i="34"/>
  <c r="E6" i="34"/>
  <c r="E7" i="34" s="1"/>
  <c r="E8" i="34" s="1"/>
  <c r="E18" i="34"/>
  <c r="E19" i="34" s="1"/>
  <c r="E20" i="34" s="1"/>
  <c r="E12" i="34"/>
  <c r="E13" i="34" s="1"/>
  <c r="E14" i="34" s="1"/>
  <c r="D37" i="34"/>
  <c r="E24" i="34"/>
  <c r="E25" i="34" s="1"/>
  <c r="E26" i="34" s="1"/>
  <c r="E30" i="34"/>
  <c r="E31" i="34" s="1"/>
  <c r="E32" i="34" s="1"/>
  <c r="F9" i="33"/>
  <c r="F7" i="33" s="1"/>
  <c r="F29" i="33"/>
  <c r="F27" i="33" s="1"/>
  <c r="F19" i="33"/>
  <c r="F17" i="33" s="1"/>
  <c r="F14" i="33"/>
  <c r="F12" i="33" s="1"/>
  <c r="F24" i="33"/>
  <c r="G29" i="33"/>
  <c r="G27" i="33" s="1"/>
  <c r="G19" i="33"/>
  <c r="G17" i="33" s="1"/>
  <c r="G9" i="33"/>
  <c r="G7" i="33" s="1"/>
  <c r="G24" i="33"/>
  <c r="G22" i="33" s="1"/>
  <c r="G14" i="33"/>
  <c r="G12" i="33" s="1"/>
  <c r="E14" i="33"/>
  <c r="E12" i="33" s="1"/>
  <c r="E9" i="33"/>
  <c r="E7" i="33" s="1"/>
  <c r="E19" i="33"/>
  <c r="E17" i="33" s="1"/>
  <c r="E29" i="33"/>
  <c r="E27" i="33" s="1"/>
  <c r="E31" i="28"/>
  <c r="E32" i="28" s="1"/>
  <c r="D25" i="16"/>
  <c r="E24" i="16"/>
  <c r="E27" i="16"/>
  <c r="E13" i="14"/>
  <c r="E14" i="14" s="1"/>
  <c r="U128" i="8"/>
  <c r="AK104" i="8" s="1"/>
  <c r="E27" i="6"/>
  <c r="D25" i="6"/>
  <c r="E24" i="6"/>
  <c r="E25" i="25"/>
  <c r="D23" i="25"/>
  <c r="E22" i="25"/>
  <c r="U46" i="8"/>
  <c r="V46" i="8" s="1"/>
  <c r="G112" i="1"/>
  <c r="H112" i="1" s="1"/>
  <c r="E7" i="18"/>
  <c r="E8" i="18" s="1"/>
  <c r="C5" i="18"/>
  <c r="C5" i="9"/>
  <c r="E7" i="9"/>
  <c r="E8" i="9" s="1"/>
  <c r="D19" i="7"/>
  <c r="E6" i="7"/>
  <c r="E18" i="7"/>
  <c r="D7" i="7"/>
  <c r="E27" i="5"/>
  <c r="D25" i="5"/>
  <c r="E24" i="5"/>
  <c r="E12" i="3"/>
  <c r="E13" i="3" s="1"/>
  <c r="E14" i="3" s="1"/>
  <c r="E6" i="3"/>
  <c r="E7" i="3" s="1"/>
  <c r="E8" i="3" s="1"/>
  <c r="D19" i="3"/>
  <c r="E18" i="3"/>
  <c r="E27" i="27"/>
  <c r="D25" i="27"/>
  <c r="E24" i="27"/>
  <c r="U134" i="8"/>
  <c r="AK110" i="8" s="1"/>
  <c r="D37" i="16"/>
  <c r="E36" i="16"/>
  <c r="D19" i="16"/>
  <c r="Q45" i="8"/>
  <c r="E13" i="10"/>
  <c r="E14" i="10" s="1"/>
  <c r="J25" i="8"/>
  <c r="L25" i="8" s="1"/>
  <c r="O46" i="8"/>
  <c r="Q46" i="8" s="1"/>
  <c r="D104" i="1"/>
  <c r="H104" i="1" s="1"/>
  <c r="D13" i="27"/>
  <c r="E12" i="27"/>
  <c r="D7" i="27"/>
  <c r="D37" i="27"/>
  <c r="E6" i="27"/>
  <c r="G111" i="1"/>
  <c r="H111" i="1" s="1"/>
  <c r="E20" i="21"/>
  <c r="D18" i="21"/>
  <c r="E17" i="21"/>
  <c r="E27" i="17"/>
  <c r="E24" i="17"/>
  <c r="E40" i="17" s="1"/>
  <c r="D25" i="17"/>
  <c r="E25" i="17" s="1"/>
  <c r="E26" i="17" s="1"/>
  <c r="C40" i="17"/>
  <c r="T27" i="8"/>
  <c r="V27" i="8" s="1"/>
  <c r="O27" i="8"/>
  <c r="Q27" i="8" s="1"/>
  <c r="J27" i="8"/>
  <c r="L27" i="8" s="1"/>
  <c r="E9" i="31"/>
  <c r="E33" i="31"/>
  <c r="B24" i="31"/>
  <c r="D24" i="31" s="1"/>
  <c r="E21" i="31"/>
  <c r="E4" i="31"/>
  <c r="C5" i="12"/>
  <c r="E7" i="12"/>
  <c r="E8" i="12" s="1"/>
  <c r="V24" i="8"/>
  <c r="T38" i="8"/>
  <c r="E6" i="13"/>
  <c r="D37" i="11"/>
  <c r="E36" i="11"/>
  <c r="D31" i="11"/>
  <c r="E30" i="11"/>
  <c r="D31" i="19"/>
  <c r="E30" i="19"/>
  <c r="E6" i="19"/>
  <c r="D37" i="19"/>
  <c r="E36" i="19"/>
  <c r="H39" i="1"/>
  <c r="C5" i="29"/>
  <c r="E7" i="29"/>
  <c r="E8" i="29" s="1"/>
  <c r="E12" i="21"/>
  <c r="D23" i="21"/>
  <c r="D13" i="21"/>
  <c r="E22" i="21"/>
  <c r="H93" i="1"/>
  <c r="E27" i="32"/>
  <c r="D25" i="32"/>
  <c r="E24" i="32"/>
  <c r="C40" i="32"/>
  <c r="E7" i="20"/>
  <c r="E8" i="20" s="1"/>
  <c r="C5" i="20"/>
  <c r="E37" i="10"/>
  <c r="H21" i="1"/>
  <c r="D7" i="6"/>
  <c r="E13" i="24"/>
  <c r="E14" i="24" s="1"/>
  <c r="E15" i="31"/>
  <c r="E30" i="26"/>
  <c r="E31" i="26" s="1"/>
  <c r="E32" i="26" s="1"/>
  <c r="E12" i="13"/>
  <c r="D7" i="26"/>
  <c r="O125" i="8"/>
  <c r="Q125" i="8" s="1"/>
  <c r="T101" i="8"/>
  <c r="V101" i="8" s="1"/>
  <c r="E6" i="5"/>
  <c r="E30" i="28"/>
  <c r="E30" i="5"/>
  <c r="D31" i="16"/>
  <c r="E31" i="10"/>
  <c r="E32" i="10" s="1"/>
  <c r="E24" i="11"/>
  <c r="J101" i="8"/>
  <c r="L101" i="8" s="1"/>
  <c r="D13" i="5"/>
  <c r="E27" i="29"/>
  <c r="D25" i="29"/>
  <c r="E24" i="29"/>
  <c r="E40" i="29" s="1"/>
  <c r="J112" i="8"/>
  <c r="E27" i="2"/>
  <c r="E24" i="2"/>
  <c r="E25" i="2" s="1"/>
  <c r="E26" i="2" s="1"/>
  <c r="E36" i="28"/>
  <c r="E37" i="28" s="1"/>
  <c r="E12" i="7"/>
  <c r="E30" i="16"/>
  <c r="D25" i="11"/>
  <c r="E18" i="4"/>
  <c r="E19" i="4" s="1"/>
  <c r="E20" i="4" s="1"/>
  <c r="E12" i="4"/>
  <c r="E13" i="4" s="1"/>
  <c r="E14" i="4" s="1"/>
  <c r="D14" i="4" s="1"/>
  <c r="D31" i="4"/>
  <c r="E30" i="4"/>
  <c r="C40" i="2"/>
  <c r="E31" i="29"/>
  <c r="E32" i="29" s="1"/>
  <c r="T59" i="8"/>
  <c r="U47" i="8"/>
  <c r="V47" i="8" s="1"/>
  <c r="D19" i="32"/>
  <c r="D33" i="24"/>
  <c r="E20" i="22"/>
  <c r="D18" i="22"/>
  <c r="E17" i="22"/>
  <c r="D25" i="4"/>
  <c r="E27" i="4"/>
  <c r="E24" i="4"/>
  <c r="E30" i="30"/>
  <c r="D19" i="30"/>
  <c r="E19" i="30" s="1"/>
  <c r="E20" i="30" s="1"/>
  <c r="D31" i="30"/>
  <c r="D13" i="26"/>
  <c r="E37" i="29"/>
  <c r="E13" i="28"/>
  <c r="E14" i="28" s="1"/>
  <c r="D25" i="26"/>
  <c r="E27" i="26"/>
  <c r="E24" i="26"/>
  <c r="E12" i="32"/>
  <c r="E36" i="7"/>
  <c r="D37" i="6"/>
  <c r="D37" i="13"/>
  <c r="C40" i="5"/>
  <c r="D19" i="18"/>
  <c r="E18" i="18"/>
  <c r="D37" i="18"/>
  <c r="E18" i="5"/>
  <c r="E19" i="5" s="1"/>
  <c r="E20" i="5" s="1"/>
  <c r="E12" i="26"/>
  <c r="E30" i="6"/>
  <c r="E31" i="6" s="1"/>
  <c r="E32" i="6" s="1"/>
  <c r="H9" i="33"/>
  <c r="H7" i="33" s="1"/>
  <c r="H24" i="33"/>
  <c r="H22" i="33" s="1"/>
  <c r="H29" i="33"/>
  <c r="H27" i="33" s="1"/>
  <c r="H19" i="33"/>
  <c r="H17" i="33" s="1"/>
  <c r="H14" i="33"/>
  <c r="H12" i="33" s="1"/>
  <c r="E27" i="13"/>
  <c r="E24" i="13"/>
  <c r="D25" i="13"/>
  <c r="E25" i="13" s="1"/>
  <c r="E26" i="13" s="1"/>
  <c r="E18" i="13"/>
  <c r="D8" i="24"/>
  <c r="E8" i="24" s="1"/>
  <c r="E9" i="24" s="1"/>
  <c r="T25" i="8"/>
  <c r="V25" i="8" s="1"/>
  <c r="D13" i="7"/>
  <c r="E13" i="7" s="1"/>
  <c r="E14" i="7" s="1"/>
  <c r="E28" i="22"/>
  <c r="E29" i="22" s="1"/>
  <c r="E32" i="21"/>
  <c r="E33" i="21" s="1"/>
  <c r="E34" i="21" s="1"/>
  <c r="E36" i="3"/>
  <c r="E36" i="26"/>
  <c r="D7" i="13"/>
  <c r="E18" i="19"/>
  <c r="E19" i="19" s="1"/>
  <c r="E20" i="19" s="1"/>
  <c r="E6" i="16"/>
  <c r="E7" i="16" s="1"/>
  <c r="E8" i="16" s="1"/>
  <c r="E12" i="11"/>
  <c r="D13" i="17"/>
  <c r="E12" i="17"/>
  <c r="D31" i="17"/>
  <c r="D7" i="17"/>
  <c r="E6" i="17"/>
  <c r="E30" i="17"/>
  <c r="D19" i="17"/>
  <c r="E19" i="17" s="1"/>
  <c r="E20" i="17" s="1"/>
  <c r="E7" i="22"/>
  <c r="E36" i="18"/>
  <c r="T48" i="8"/>
  <c r="D33" i="22"/>
  <c r="E33" i="22" s="1"/>
  <c r="E34" i="22" s="1"/>
  <c r="D86" i="1"/>
  <c r="E36" i="6"/>
  <c r="E6" i="6"/>
  <c r="E18" i="6"/>
  <c r="D13" i="6"/>
  <c r="E12" i="6"/>
  <c r="H75" i="1"/>
  <c r="J48" i="8"/>
  <c r="D19" i="13"/>
  <c r="D13" i="19"/>
  <c r="E24" i="9"/>
  <c r="E40" i="9" s="1"/>
  <c r="E27" i="9"/>
  <c r="D25" i="9"/>
  <c r="E25" i="9" s="1"/>
  <c r="E26" i="9" s="1"/>
  <c r="D7" i="19"/>
  <c r="D13" i="18"/>
  <c r="E13" i="18" s="1"/>
  <c r="E14" i="18" s="1"/>
  <c r="O25" i="8"/>
  <c r="D31" i="7"/>
  <c r="V99" i="8"/>
  <c r="D25" i="12"/>
  <c r="E24" i="12"/>
  <c r="E27" i="12"/>
  <c r="E6" i="11"/>
  <c r="D8" i="22"/>
  <c r="E8" i="22" s="1"/>
  <c r="E9" i="22" s="1"/>
  <c r="E37" i="9"/>
  <c r="D31" i="20"/>
  <c r="E30" i="20"/>
  <c r="D37" i="20"/>
  <c r="E36" i="20"/>
  <c r="E27" i="10"/>
  <c r="D25" i="10"/>
  <c r="E24" i="10"/>
  <c r="E40" i="10" s="1"/>
  <c r="D122" i="1"/>
  <c r="H122" i="1" s="1"/>
  <c r="C40" i="16"/>
  <c r="U131" i="8"/>
  <c r="AK107" i="8"/>
  <c r="E12" i="28"/>
  <c r="E18" i="28"/>
  <c r="E19" i="28" s="1"/>
  <c r="E20" i="28" s="1"/>
  <c r="D25" i="28"/>
  <c r="E24" i="28"/>
  <c r="E27" i="28"/>
  <c r="E30" i="7"/>
  <c r="D13" i="16"/>
  <c r="E27" i="19"/>
  <c r="E24" i="19"/>
  <c r="D25" i="19"/>
  <c r="E25" i="19" s="1"/>
  <c r="E26" i="19" s="1"/>
  <c r="D37" i="3"/>
  <c r="E27" i="30"/>
  <c r="D25" i="30"/>
  <c r="E24" i="30"/>
  <c r="U133" i="8"/>
  <c r="AK109" i="8"/>
  <c r="E13" i="15"/>
  <c r="E14" i="15" s="1"/>
  <c r="C40" i="9"/>
  <c r="D25" i="7"/>
  <c r="E27" i="7"/>
  <c r="E24" i="7"/>
  <c r="E27" i="3"/>
  <c r="E24" i="3"/>
  <c r="E25" i="3" s="1"/>
  <c r="E26" i="3" s="1"/>
  <c r="C40" i="3"/>
  <c r="E12" i="5"/>
  <c r="C5" i="16"/>
  <c r="E18" i="16"/>
  <c r="C31" i="21"/>
  <c r="B33" i="22" s="1"/>
  <c r="C31" i="22" s="1"/>
  <c r="B33" i="23" s="1"/>
  <c r="C31" i="23" s="1"/>
  <c r="B33" i="24" s="1"/>
  <c r="D31" i="5"/>
  <c r="E31" i="5" s="1"/>
  <c r="E32" i="5" s="1"/>
  <c r="D25" i="15"/>
  <c r="E24" i="15"/>
  <c r="E40" i="15" s="1"/>
  <c r="C40" i="15"/>
  <c r="E27" i="15"/>
  <c r="L123" i="8"/>
  <c r="C9" i="33"/>
  <c r="C19" i="33"/>
  <c r="C29" i="33"/>
  <c r="C14" i="33"/>
  <c r="E8" i="21"/>
  <c r="E9" i="21" s="1"/>
  <c r="C6" i="21"/>
  <c r="B8" i="22" s="1"/>
  <c r="E7" i="28"/>
  <c r="E8" i="28" s="1"/>
  <c r="C5" i="28"/>
  <c r="L24" i="8"/>
  <c r="C40" i="10"/>
  <c r="D37" i="7"/>
  <c r="D13" i="13"/>
  <c r="E27" i="18"/>
  <c r="D25" i="18"/>
  <c r="E24" i="18"/>
  <c r="C40" i="18"/>
  <c r="E18" i="2"/>
  <c r="E19" i="2" s="1"/>
  <c r="E20" i="2" s="1"/>
  <c r="E12" i="2"/>
  <c r="E13" i="2" s="1"/>
  <c r="E14" i="2" s="1"/>
  <c r="E7" i="10"/>
  <c r="E8" i="10" s="1"/>
  <c r="C5" i="10"/>
  <c r="E12" i="19"/>
  <c r="J131" i="8"/>
  <c r="L131" i="8" s="1"/>
  <c r="O48" i="8"/>
  <c r="Q48" i="8" s="1"/>
  <c r="E30" i="3"/>
  <c r="E31" i="3" s="1"/>
  <c r="E32" i="3" s="1"/>
  <c r="E7" i="14"/>
  <c r="E8" i="14" s="1"/>
  <c r="E27" i="21"/>
  <c r="E36" i="27"/>
  <c r="E19" i="15"/>
  <c r="E20" i="15" s="1"/>
  <c r="J110" i="8"/>
  <c r="L110" i="8" s="1"/>
  <c r="E36" i="30"/>
  <c r="O131" i="8"/>
  <c r="Q131" i="8" s="1"/>
  <c r="J134" i="8"/>
  <c r="L134" i="8" s="1"/>
  <c r="C40" i="6"/>
  <c r="O101" i="8"/>
  <c r="E27" i="20"/>
  <c r="D25" i="20"/>
  <c r="E24" i="20"/>
  <c r="D37" i="5"/>
  <c r="E36" i="5"/>
  <c r="D7" i="5"/>
  <c r="E23" i="23"/>
  <c r="E24" i="23" s="1"/>
  <c r="E37" i="12"/>
  <c r="O136" i="8"/>
  <c r="Q123" i="8"/>
  <c r="E18" i="32"/>
  <c r="E36" i="32"/>
  <c r="D31" i="32"/>
  <c r="E31" i="32" s="1"/>
  <c r="E32" i="32" s="1"/>
  <c r="D37" i="32"/>
  <c r="E31" i="13"/>
  <c r="E32" i="13" s="1"/>
  <c r="E6" i="26"/>
  <c r="E17" i="23"/>
  <c r="E20" i="23"/>
  <c r="D18" i="23"/>
  <c r="E18" i="23" s="1"/>
  <c r="E19" i="23" s="1"/>
  <c r="D28" i="24"/>
  <c r="E27" i="24"/>
  <c r="E6" i="32"/>
  <c r="E12" i="16"/>
  <c r="D13" i="32"/>
  <c r="E32" i="24"/>
  <c r="T125" i="8"/>
  <c r="O4" i="33"/>
  <c r="E36" i="13"/>
  <c r="D7" i="32"/>
  <c r="D28" i="21"/>
  <c r="D7" i="11"/>
  <c r="D19" i="6"/>
  <c r="D37" i="30"/>
  <c r="E25" i="14"/>
  <c r="E26" i="14" s="1"/>
  <c r="T107" i="8"/>
  <c r="V107" i="8" s="1"/>
  <c r="U132" i="8"/>
  <c r="AK108" i="8" s="1"/>
  <c r="E40" i="38" l="1"/>
  <c r="E37" i="38"/>
  <c r="D40" i="38"/>
  <c r="E40" i="36"/>
  <c r="E37" i="36"/>
  <c r="D40" i="36" s="1"/>
  <c r="G113" i="1"/>
  <c r="H113" i="1"/>
  <c r="E31" i="30"/>
  <c r="E32" i="30" s="1"/>
  <c r="E37" i="27"/>
  <c r="J113" i="8"/>
  <c r="C5" i="30"/>
  <c r="L111" i="8"/>
  <c r="E23" i="24"/>
  <c r="E24" i="24" s="1"/>
  <c r="J114" i="8"/>
  <c r="J115" i="8" s="1"/>
  <c r="K36" i="8" s="1"/>
  <c r="E40" i="12"/>
  <c r="L36" i="8"/>
  <c r="E17" i="24"/>
  <c r="C5" i="4"/>
  <c r="E40" i="14"/>
  <c r="D18" i="24"/>
  <c r="E18" i="24" s="1"/>
  <c r="E19" i="24" s="1"/>
  <c r="C5" i="23"/>
  <c r="D40" i="35"/>
  <c r="E40" i="35"/>
  <c r="D40" i="2"/>
  <c r="E19" i="6"/>
  <c r="E20" i="6" s="1"/>
  <c r="E31" i="14"/>
  <c r="E32" i="14" s="1"/>
  <c r="D40" i="14" s="1"/>
  <c r="Q135" i="8"/>
  <c r="E13" i="27"/>
  <c r="E14" i="27" s="1"/>
  <c r="S38" i="8"/>
  <c r="R38" i="8" s="1"/>
  <c r="T39" i="8" s="1"/>
  <c r="E13" i="13"/>
  <c r="E14" i="13" s="1"/>
  <c r="E13" i="32"/>
  <c r="E14" i="32" s="1"/>
  <c r="V36" i="8"/>
  <c r="E18" i="22"/>
  <c r="E19" i="22" s="1"/>
  <c r="E19" i="13"/>
  <c r="E20" i="13" s="1"/>
  <c r="E13" i="11"/>
  <c r="E14" i="11" s="1"/>
  <c r="E31" i="16"/>
  <c r="E32" i="16" s="1"/>
  <c r="E19" i="26"/>
  <c r="E20" i="26" s="1"/>
  <c r="E25" i="26"/>
  <c r="E26" i="26" s="1"/>
  <c r="E25" i="18"/>
  <c r="E26" i="18" s="1"/>
  <c r="E31" i="17"/>
  <c r="E32" i="17" s="1"/>
  <c r="E25" i="32"/>
  <c r="E26" i="32" s="1"/>
  <c r="E13" i="5"/>
  <c r="E14" i="5" s="1"/>
  <c r="D14" i="5" s="1"/>
  <c r="E19" i="18"/>
  <c r="E20" i="18" s="1"/>
  <c r="O137" i="8"/>
  <c r="O138" i="8" s="1"/>
  <c r="O139" i="8" s="1"/>
  <c r="P57" i="8" s="1"/>
  <c r="E13" i="17"/>
  <c r="E14" i="17" s="1"/>
  <c r="E40" i="4"/>
  <c r="D40" i="34"/>
  <c r="E40" i="34"/>
  <c r="O19" i="33"/>
  <c r="C17" i="33"/>
  <c r="O17" i="33" s="1"/>
  <c r="E13" i="19"/>
  <c r="E14" i="19" s="1"/>
  <c r="D121" i="1"/>
  <c r="D103" i="1"/>
  <c r="D85" i="1"/>
  <c r="D50" i="1"/>
  <c r="D31" i="1"/>
  <c r="D68" i="1"/>
  <c r="E31" i="19"/>
  <c r="E32" i="19" s="1"/>
  <c r="D40" i="9"/>
  <c r="E25" i="16"/>
  <c r="E26" i="16" s="1"/>
  <c r="J136" i="8"/>
  <c r="J138" i="8" s="1"/>
  <c r="J139" i="8" s="1"/>
  <c r="K57" i="8" s="1"/>
  <c r="E40" i="20"/>
  <c r="E37" i="20"/>
  <c r="E33" i="24"/>
  <c r="E34" i="24" s="1"/>
  <c r="E40" i="11"/>
  <c r="E37" i="11"/>
  <c r="E19" i="32"/>
  <c r="E20" i="32" s="1"/>
  <c r="E40" i="2"/>
  <c r="E7" i="11"/>
  <c r="E8" i="11" s="1"/>
  <c r="C5" i="11"/>
  <c r="C5" i="17"/>
  <c r="E7" i="17"/>
  <c r="E8" i="17" s="1"/>
  <c r="E25" i="15"/>
  <c r="E26" i="15" s="1"/>
  <c r="D40" i="15" s="1"/>
  <c r="E40" i="26"/>
  <c r="E25" i="27"/>
  <c r="E26" i="27" s="1"/>
  <c r="E37" i="16"/>
  <c r="E40" i="16"/>
  <c r="O29" i="33"/>
  <c r="C27" i="33"/>
  <c r="O27" i="33" s="1"/>
  <c r="E25" i="10"/>
  <c r="E26" i="10" s="1"/>
  <c r="D40" i="10" s="1"/>
  <c r="L48" i="8"/>
  <c r="L57" i="8" s="1"/>
  <c r="I59" i="8"/>
  <c r="E13" i="6"/>
  <c r="E14" i="6" s="1"/>
  <c r="D14" i="6" s="1"/>
  <c r="E19" i="3"/>
  <c r="E20" i="3" s="1"/>
  <c r="C26" i="21"/>
  <c r="B28" i="22" s="1"/>
  <c r="C26" i="22" s="1"/>
  <c r="B28" i="23" s="1"/>
  <c r="C26" i="23" s="1"/>
  <c r="B28" i="24" s="1"/>
  <c r="C26" i="24" s="1"/>
  <c r="B28" i="25" s="1"/>
  <c r="C26" i="25" s="1"/>
  <c r="E28" i="21"/>
  <c r="E29" i="21" s="1"/>
  <c r="E18" i="21"/>
  <c r="E19" i="21" s="1"/>
  <c r="C16" i="21"/>
  <c r="B18" i="22" s="1"/>
  <c r="C16" i="22" s="1"/>
  <c r="B18" i="23" s="1"/>
  <c r="C16" i="23" s="1"/>
  <c r="B18" i="24" s="1"/>
  <c r="D40" i="3"/>
  <c r="C5" i="6"/>
  <c r="E7" i="6"/>
  <c r="E8" i="6" s="1"/>
  <c r="E7" i="32"/>
  <c r="E8" i="32" s="1"/>
  <c r="C5" i="32"/>
  <c r="L135" i="8"/>
  <c r="E25" i="29"/>
  <c r="E26" i="29" s="1"/>
  <c r="E40" i="5"/>
  <c r="E37" i="5"/>
  <c r="E7" i="13"/>
  <c r="E8" i="13" s="1"/>
  <c r="C5" i="13"/>
  <c r="E40" i="7"/>
  <c r="E37" i="7"/>
  <c r="E25" i="28"/>
  <c r="E26" i="28" s="1"/>
  <c r="D40" i="28" s="1"/>
  <c r="E27" i="31"/>
  <c r="D25" i="31"/>
  <c r="E24" i="31"/>
  <c r="C40" i="31"/>
  <c r="E25" i="4"/>
  <c r="E26" i="4" s="1"/>
  <c r="E37" i="13"/>
  <c r="E40" i="13"/>
  <c r="U125" i="8"/>
  <c r="AK101" i="8"/>
  <c r="T137" i="8"/>
  <c r="T136" i="8"/>
  <c r="C31" i="24"/>
  <c r="B33" i="25" s="1"/>
  <c r="C31" i="25" s="1"/>
  <c r="E23" i="25"/>
  <c r="E24" i="25" s="1"/>
  <c r="C5" i="25" s="1"/>
  <c r="T112" i="8"/>
  <c r="E23" i="21"/>
  <c r="E24" i="21" s="1"/>
  <c r="C21" i="21"/>
  <c r="B23" i="22" s="1"/>
  <c r="C21" i="22" s="1"/>
  <c r="B23" i="23" s="1"/>
  <c r="C21" i="23" s="1"/>
  <c r="B23" i="24" s="1"/>
  <c r="C21" i="24" s="1"/>
  <c r="B23" i="25" s="1"/>
  <c r="C21" i="25" s="1"/>
  <c r="B25" i="26" s="1"/>
  <c r="C23" i="26" s="1"/>
  <c r="F22" i="33"/>
  <c r="O22" i="33" s="1"/>
  <c r="O24" i="33"/>
  <c r="I38" i="8"/>
  <c r="V111" i="8"/>
  <c r="D40" i="29"/>
  <c r="E31" i="7"/>
  <c r="E32" i="7" s="1"/>
  <c r="E37" i="18"/>
  <c r="E40" i="18"/>
  <c r="E13" i="26"/>
  <c r="E14" i="26" s="1"/>
  <c r="E7" i="26"/>
  <c r="E8" i="26" s="1"/>
  <c r="N59" i="8"/>
  <c r="J137" i="8"/>
  <c r="E31" i="20"/>
  <c r="E32" i="20" s="1"/>
  <c r="E25" i="20"/>
  <c r="E26" i="20" s="1"/>
  <c r="E7" i="27"/>
  <c r="E8" i="27" s="1"/>
  <c r="C5" i="27"/>
  <c r="E25" i="12"/>
  <c r="E26" i="12" s="1"/>
  <c r="D40" i="12" s="1"/>
  <c r="E25" i="5"/>
  <c r="E26" i="5" s="1"/>
  <c r="E40" i="30"/>
  <c r="E37" i="30"/>
  <c r="U48" i="8"/>
  <c r="V48" i="8" s="1"/>
  <c r="V57" i="8" s="1"/>
  <c r="S59" i="8"/>
  <c r="R59" i="8" s="1"/>
  <c r="T60" i="8" s="1"/>
  <c r="Q25" i="8"/>
  <c r="Q36" i="8" s="1"/>
  <c r="N38" i="8"/>
  <c r="O38" i="8"/>
  <c r="M38" i="8" s="1"/>
  <c r="O39" i="8" s="1"/>
  <c r="Q57" i="8"/>
  <c r="J59" i="8"/>
  <c r="E19" i="7"/>
  <c r="E20" i="7" s="1"/>
  <c r="E25" i="30"/>
  <c r="E26" i="30" s="1"/>
  <c r="E31" i="11"/>
  <c r="E32" i="11" s="1"/>
  <c r="C5" i="5"/>
  <c r="E7" i="5"/>
  <c r="E8" i="5" s="1"/>
  <c r="E37" i="3"/>
  <c r="E40" i="3"/>
  <c r="C5" i="22"/>
  <c r="E28" i="24"/>
  <c r="E29" i="24" s="1"/>
  <c r="E40" i="6"/>
  <c r="E37" i="6"/>
  <c r="E13" i="21"/>
  <c r="E14" i="21" s="1"/>
  <c r="C11" i="21"/>
  <c r="B13" i="22" s="1"/>
  <c r="C11" i="22" s="1"/>
  <c r="B13" i="23" s="1"/>
  <c r="C11" i="23" s="1"/>
  <c r="B13" i="24" s="1"/>
  <c r="C11" i="24" s="1"/>
  <c r="B13" i="25" s="1"/>
  <c r="C11" i="25" s="1"/>
  <c r="B13" i="26" s="1"/>
  <c r="C11" i="26" s="1"/>
  <c r="B13" i="27" s="1"/>
  <c r="C11" i="27" s="1"/>
  <c r="J38" i="8"/>
  <c r="C6" i="22"/>
  <c r="B8" i="23" s="1"/>
  <c r="C6" i="23" s="1"/>
  <c r="B8" i="24" s="1"/>
  <c r="C6" i="24" s="1"/>
  <c r="B8" i="25" s="1"/>
  <c r="C6" i="25" s="1"/>
  <c r="B7" i="26" s="1"/>
  <c r="C5" i="26" s="1"/>
  <c r="E40" i="28"/>
  <c r="O59" i="8"/>
  <c r="M59" i="8" s="1"/>
  <c r="O60" i="8" s="1"/>
  <c r="C12" i="33"/>
  <c r="O12" i="33" s="1"/>
  <c r="O14" i="33"/>
  <c r="O9" i="33"/>
  <c r="O7" i="33" s="1"/>
  <c r="C7" i="33"/>
  <c r="E13" i="16"/>
  <c r="E14" i="16" s="1"/>
  <c r="Q101" i="8"/>
  <c r="Q111" i="8" s="1"/>
  <c r="O112" i="8"/>
  <c r="O113" i="8"/>
  <c r="E31" i="4"/>
  <c r="E32" i="4" s="1"/>
  <c r="D31" i="31"/>
  <c r="D19" i="31"/>
  <c r="E18" i="31"/>
  <c r="D37" i="31"/>
  <c r="E6" i="31"/>
  <c r="D13" i="31"/>
  <c r="E36" i="31"/>
  <c r="E12" i="31"/>
  <c r="E30" i="31"/>
  <c r="D7" i="31"/>
  <c r="T113" i="8"/>
  <c r="E25" i="11"/>
  <c r="E26" i="11" s="1"/>
  <c r="E25" i="6"/>
  <c r="E26" i="6" s="1"/>
  <c r="E40" i="27"/>
  <c r="E40" i="32"/>
  <c r="E37" i="32"/>
  <c r="E25" i="7"/>
  <c r="E26" i="7" s="1"/>
  <c r="E7" i="19"/>
  <c r="E8" i="19" s="1"/>
  <c r="C5" i="19"/>
  <c r="E37" i="19"/>
  <c r="E40" i="19"/>
  <c r="E19" i="16"/>
  <c r="E20" i="16" s="1"/>
  <c r="E7" i="7"/>
  <c r="E8" i="7" s="1"/>
  <c r="C5" i="7"/>
  <c r="B25" i="34" l="1"/>
  <c r="C23" i="34" s="1"/>
  <c r="B25" i="35"/>
  <c r="C23" i="35" s="1"/>
  <c r="B13" i="34"/>
  <c r="C11" i="34" s="1"/>
  <c r="B13" i="35"/>
  <c r="C11" i="35" s="1"/>
  <c r="B37" i="34"/>
  <c r="C35" i="34" s="1"/>
  <c r="B37" i="35"/>
  <c r="C35" i="35" s="1"/>
  <c r="B31" i="34"/>
  <c r="C29" i="34" s="1"/>
  <c r="B31" i="35"/>
  <c r="C29" i="35" s="1"/>
  <c r="C16" i="24"/>
  <c r="B18" i="25" s="1"/>
  <c r="C16" i="25" s="1"/>
  <c r="B19" i="27" s="1"/>
  <c r="C17" i="27" s="1"/>
  <c r="C5" i="21"/>
  <c r="D40" i="7"/>
  <c r="D40" i="17"/>
  <c r="D40" i="30"/>
  <c r="T138" i="8"/>
  <c r="T139" i="8" s="1"/>
  <c r="U57" i="8" s="1"/>
  <c r="D40" i="26"/>
  <c r="E19" i="31"/>
  <c r="E20" i="31" s="1"/>
  <c r="D40" i="16"/>
  <c r="D40" i="20"/>
  <c r="D40" i="13"/>
  <c r="T114" i="8"/>
  <c r="T115" i="8" s="1"/>
  <c r="U36" i="8" s="1"/>
  <c r="C5" i="24"/>
  <c r="D40" i="18"/>
  <c r="E31" i="31"/>
  <c r="E32" i="31" s="1"/>
  <c r="D40" i="4"/>
  <c r="H59" i="8"/>
  <c r="J60" i="8" s="1"/>
  <c r="O114" i="8"/>
  <c r="O115" i="8" s="1"/>
  <c r="P36" i="8" s="1"/>
  <c r="H50" i="1"/>
  <c r="H51" i="1" s="1"/>
  <c r="D51" i="1"/>
  <c r="G51" i="1" s="1"/>
  <c r="D40" i="11"/>
  <c r="D40" i="19"/>
  <c r="H68" i="1"/>
  <c r="H69" i="1" s="1"/>
  <c r="D69" i="1"/>
  <c r="G69" i="1" s="1"/>
  <c r="D40" i="27"/>
  <c r="B25" i="30"/>
  <c r="C23" i="30" s="1"/>
  <c r="B25" i="3"/>
  <c r="C23" i="3" s="1"/>
  <c r="B25" i="13"/>
  <c r="C23" i="13" s="1"/>
  <c r="B25" i="7"/>
  <c r="C23" i="7" s="1"/>
  <c r="B25" i="2"/>
  <c r="C23" i="2" s="1"/>
  <c r="B25" i="29"/>
  <c r="C23" i="29" s="1"/>
  <c r="B25" i="17"/>
  <c r="C23" i="17" s="1"/>
  <c r="B25" i="12"/>
  <c r="C23" i="12" s="1"/>
  <c r="B25" i="20"/>
  <c r="C23" i="20" s="1"/>
  <c r="B25" i="4"/>
  <c r="C23" i="4" s="1"/>
  <c r="B25" i="11"/>
  <c r="C23" i="11" s="1"/>
  <c r="B25" i="27"/>
  <c r="C23" i="27" s="1"/>
  <c r="B25" i="19"/>
  <c r="C23" i="19" s="1"/>
  <c r="B25" i="18"/>
  <c r="C23" i="18" s="1"/>
  <c r="B25" i="10"/>
  <c r="C23" i="10" s="1"/>
  <c r="B25" i="31"/>
  <c r="C23" i="31" s="1"/>
  <c r="B25" i="16"/>
  <c r="C23" i="16" s="1"/>
  <c r="B25" i="9"/>
  <c r="C23" i="9" s="1"/>
  <c r="B25" i="15"/>
  <c r="C23" i="15" s="1"/>
  <c r="B25" i="32"/>
  <c r="C23" i="32" s="1"/>
  <c r="B25" i="14"/>
  <c r="C23" i="14" s="1"/>
  <c r="B25" i="5"/>
  <c r="C23" i="5" s="1"/>
  <c r="B25" i="6"/>
  <c r="C23" i="6" s="1"/>
  <c r="B25" i="28"/>
  <c r="C23" i="28" s="1"/>
  <c r="D40" i="32"/>
  <c r="D40" i="6"/>
  <c r="H103" i="1"/>
  <c r="H105" i="1" s="1"/>
  <c r="D105" i="1"/>
  <c r="G105" i="1" s="1"/>
  <c r="H121" i="1"/>
  <c r="H123" i="1" s="1"/>
  <c r="D123" i="1"/>
  <c r="G123" i="1" s="1"/>
  <c r="E13" i="31"/>
  <c r="E14" i="31" s="1"/>
  <c r="B13" i="14"/>
  <c r="C11" i="14" s="1"/>
  <c r="B13" i="9"/>
  <c r="C11" i="9" s="1"/>
  <c r="B13" i="18"/>
  <c r="C11" i="18" s="1"/>
  <c r="B13" i="13"/>
  <c r="C11" i="13" s="1"/>
  <c r="B13" i="7"/>
  <c r="C11" i="7" s="1"/>
  <c r="B13" i="2"/>
  <c r="C11" i="2" s="1"/>
  <c r="B13" i="29"/>
  <c r="C11" i="29" s="1"/>
  <c r="B13" i="12"/>
  <c r="C11" i="12" s="1"/>
  <c r="B13" i="28"/>
  <c r="C11" i="28" s="1"/>
  <c r="B13" i="20"/>
  <c r="C11" i="20" s="1"/>
  <c r="B13" i="4"/>
  <c r="C11" i="4" s="1"/>
  <c r="B13" i="11"/>
  <c r="C11" i="11" s="1"/>
  <c r="B13" i="3"/>
  <c r="C11" i="3" s="1"/>
  <c r="B13" i="32"/>
  <c r="C11" i="32" s="1"/>
  <c r="B13" i="31"/>
  <c r="C11" i="31" s="1"/>
  <c r="B13" i="16"/>
  <c r="C11" i="16" s="1"/>
  <c r="B13" i="17"/>
  <c r="C11" i="17" s="1"/>
  <c r="B13" i="15"/>
  <c r="C11" i="15" s="1"/>
  <c r="B13" i="30"/>
  <c r="C11" i="30" s="1"/>
  <c r="B13" i="10"/>
  <c r="C11" i="10" s="1"/>
  <c r="B13" i="6"/>
  <c r="C11" i="6" s="1"/>
  <c r="B13" i="5"/>
  <c r="C11" i="5" s="1"/>
  <c r="B13" i="19"/>
  <c r="C11" i="19" s="1"/>
  <c r="E7" i="31"/>
  <c r="E8" i="31" s="1"/>
  <c r="C5" i="31"/>
  <c r="E40" i="31"/>
  <c r="E37" i="31"/>
  <c r="B31" i="18"/>
  <c r="C29" i="18" s="1"/>
  <c r="B31" i="7"/>
  <c r="C29" i="7" s="1"/>
  <c r="B31" i="29"/>
  <c r="C29" i="29" s="1"/>
  <c r="B31" i="2"/>
  <c r="C29" i="2" s="1"/>
  <c r="B31" i="26"/>
  <c r="C29" i="26" s="1"/>
  <c r="B31" i="17"/>
  <c r="C29" i="17" s="1"/>
  <c r="B31" i="12"/>
  <c r="C29" i="12" s="1"/>
  <c r="B31" i="6"/>
  <c r="C29" i="6" s="1"/>
  <c r="B31" i="20"/>
  <c r="C29" i="20" s="1"/>
  <c r="B31" i="13"/>
  <c r="C29" i="13" s="1"/>
  <c r="B31" i="4"/>
  <c r="C29" i="4" s="1"/>
  <c r="B31" i="11"/>
  <c r="C29" i="11" s="1"/>
  <c r="B31" i="27"/>
  <c r="C29" i="27" s="1"/>
  <c r="B31" i="19"/>
  <c r="C29" i="19" s="1"/>
  <c r="B31" i="3"/>
  <c r="C29" i="3" s="1"/>
  <c r="B31" i="32"/>
  <c r="C29" i="32" s="1"/>
  <c r="B31" i="9"/>
  <c r="C29" i="9" s="1"/>
  <c r="B31" i="14"/>
  <c r="C29" i="14" s="1"/>
  <c r="B31" i="10"/>
  <c r="C29" i="10" s="1"/>
  <c r="B31" i="16"/>
  <c r="C29" i="16" s="1"/>
  <c r="B31" i="15"/>
  <c r="C29" i="15" s="1"/>
  <c r="B31" i="31"/>
  <c r="C29" i="31" s="1"/>
  <c r="B31" i="30"/>
  <c r="C29" i="30" s="1"/>
  <c r="B31" i="28"/>
  <c r="C29" i="28" s="1"/>
  <c r="B31" i="5"/>
  <c r="C29" i="5" s="1"/>
  <c r="H31" i="1"/>
  <c r="H33" i="1" s="1"/>
  <c r="D33" i="1"/>
  <c r="G33" i="1" s="1"/>
  <c r="H38" i="8"/>
  <c r="J39" i="8" s="1"/>
  <c r="H85" i="1"/>
  <c r="H87" i="1" s="1"/>
  <c r="D87" i="1"/>
  <c r="G87" i="1" s="1"/>
  <c r="E25" i="31"/>
  <c r="E26" i="31" s="1"/>
  <c r="B37" i="18"/>
  <c r="C35" i="18" s="1"/>
  <c r="B37" i="13"/>
  <c r="C35" i="13" s="1"/>
  <c r="B37" i="29"/>
  <c r="C35" i="29" s="1"/>
  <c r="B37" i="26"/>
  <c r="C35" i="26" s="1"/>
  <c r="B37" i="2"/>
  <c r="C35" i="2" s="1"/>
  <c r="B37" i="17"/>
  <c r="C35" i="17" s="1"/>
  <c r="B37" i="12"/>
  <c r="C35" i="12" s="1"/>
  <c r="B37" i="6"/>
  <c r="C35" i="6" s="1"/>
  <c r="B37" i="28"/>
  <c r="C35" i="28" s="1"/>
  <c r="B37" i="16"/>
  <c r="C35" i="16" s="1"/>
  <c r="B37" i="20"/>
  <c r="C35" i="20" s="1"/>
  <c r="B37" i="4"/>
  <c r="C35" i="4" s="1"/>
  <c r="B37" i="27"/>
  <c r="C35" i="27" s="1"/>
  <c r="B37" i="11"/>
  <c r="C35" i="11" s="1"/>
  <c r="B37" i="19"/>
  <c r="C35" i="19" s="1"/>
  <c r="B37" i="3"/>
  <c r="C35" i="3" s="1"/>
  <c r="B37" i="32"/>
  <c r="C35" i="32" s="1"/>
  <c r="B37" i="9"/>
  <c r="C35" i="9" s="1"/>
  <c r="B37" i="30"/>
  <c r="C35" i="30" s="1"/>
  <c r="B37" i="15"/>
  <c r="C35" i="15" s="1"/>
  <c r="B37" i="7"/>
  <c r="C35" i="7" s="1"/>
  <c r="B37" i="14"/>
  <c r="C35" i="14" s="1"/>
  <c r="B37" i="31"/>
  <c r="C35" i="31" s="1"/>
  <c r="B37" i="10"/>
  <c r="C35" i="10" s="1"/>
  <c r="B37" i="5"/>
  <c r="C35" i="5" s="1"/>
  <c r="D40" i="5"/>
  <c r="B19" i="34" l="1"/>
  <c r="C17" i="34" s="1"/>
  <c r="B19" i="35"/>
  <c r="C17" i="35" s="1"/>
  <c r="B19" i="26"/>
  <c r="C17" i="26" s="1"/>
  <c r="B19" i="9"/>
  <c r="C17" i="9" s="1"/>
  <c r="B19" i="30"/>
  <c r="C17" i="30" s="1"/>
  <c r="B19" i="3"/>
  <c r="C17" i="3" s="1"/>
  <c r="B19" i="18"/>
  <c r="C17" i="18" s="1"/>
  <c r="B19" i="13"/>
  <c r="C17" i="13" s="1"/>
  <c r="B19" i="7"/>
  <c r="C17" i="7" s="1"/>
  <c r="B19" i="2"/>
  <c r="C17" i="2" s="1"/>
  <c r="B19" i="29"/>
  <c r="C17" i="29" s="1"/>
  <c r="B19" i="17"/>
  <c r="C17" i="17" s="1"/>
  <c r="B19" i="6"/>
  <c r="C17" i="6" s="1"/>
  <c r="B19" i="28"/>
  <c r="C17" i="28" s="1"/>
  <c r="B19" i="14"/>
  <c r="C17" i="14" s="1"/>
  <c r="B19" i="12"/>
  <c r="C17" i="12" s="1"/>
  <c r="B19" i="20"/>
  <c r="C17" i="20" s="1"/>
  <c r="B19" i="4"/>
  <c r="C17" i="4" s="1"/>
  <c r="B19" i="11"/>
  <c r="C17" i="11" s="1"/>
  <c r="B19" i="31"/>
  <c r="C17" i="31" s="1"/>
  <c r="B19" i="16"/>
  <c r="C17" i="16" s="1"/>
  <c r="B19" i="32"/>
  <c r="C17" i="32" s="1"/>
  <c r="B19" i="15"/>
  <c r="C17" i="15" s="1"/>
  <c r="B19" i="10"/>
  <c r="C17" i="10" s="1"/>
  <c r="B19" i="5"/>
  <c r="C17" i="5" s="1"/>
  <c r="B19" i="19"/>
  <c r="C17" i="19" s="1"/>
  <c r="D40" i="31"/>
</calcChain>
</file>

<file path=xl/sharedStrings.xml><?xml version="1.0" encoding="utf-8"?>
<sst xmlns="http://schemas.openxmlformats.org/spreadsheetml/2006/main" count="746" uniqueCount="75">
  <si>
    <t>Ana Sayaç Bilgileri</t>
  </si>
  <si>
    <t>Tüketim</t>
  </si>
  <si>
    <t>Fatura</t>
  </si>
  <si>
    <t xml:space="preserve">TL  </t>
  </si>
  <si>
    <t>Tarihi</t>
  </si>
  <si>
    <t>YAZAR</t>
  </si>
  <si>
    <t>KW</t>
  </si>
  <si>
    <t>Tutarı TL</t>
  </si>
  <si>
    <t>/   KW</t>
  </si>
  <si>
    <t>snyB</t>
  </si>
  <si>
    <t>TKTM</t>
  </si>
  <si>
    <t>TUTAR</t>
  </si>
  <si>
    <t>TMNT</t>
  </si>
  <si>
    <t>SU</t>
  </si>
  <si>
    <t>ÖDEME</t>
  </si>
  <si>
    <t>Maximum</t>
  </si>
  <si>
    <t>snyCD</t>
  </si>
  <si>
    <t>snyE</t>
  </si>
  <si>
    <t>tmnt</t>
  </si>
  <si>
    <t>cihan</t>
  </si>
  <si>
    <t>süleyman</t>
  </si>
  <si>
    <t>SnyF</t>
  </si>
  <si>
    <t>SnyG</t>
  </si>
  <si>
    <t>SnyH</t>
  </si>
  <si>
    <t>* Teminat miktarı yıl içi en yüksek fatura x 2 dir</t>
  </si>
  <si>
    <t>tüketim</t>
  </si>
  <si>
    <t>çarp.tktm</t>
  </si>
  <si>
    <t>Fat.Tutarı</t>
  </si>
  <si>
    <t>kw fiyat</t>
  </si>
  <si>
    <t>SnyB- Salih</t>
  </si>
  <si>
    <t xml:space="preserve"> TL tem.i alındı)</t>
  </si>
  <si>
    <t>SnyCD-Ali</t>
  </si>
  <si>
    <t>SnyE-Süleyman</t>
  </si>
  <si>
    <t>SnyF-Merdal</t>
  </si>
  <si>
    <t>Sny G-Metin</t>
  </si>
  <si>
    <t>SnyH-Hacı</t>
  </si>
  <si>
    <t>SnyE-Cihan</t>
  </si>
  <si>
    <t>Tutarı</t>
  </si>
  <si>
    <t xml:space="preserve">/   </t>
  </si>
  <si>
    <t>TL</t>
  </si>
  <si>
    <t>kw</t>
  </si>
  <si>
    <t>Max +* Ort</t>
  </si>
  <si>
    <t>Ortalama</t>
  </si>
  <si>
    <t>2025 Teminat Miktarı</t>
  </si>
  <si>
    <t>TL / kw</t>
  </si>
  <si>
    <t>2024 Teminat Miktarı</t>
  </si>
  <si>
    <t>SnyB-</t>
  </si>
  <si>
    <t>,</t>
  </si>
  <si>
    <t>20-12-2021 – 31-12-2021</t>
  </si>
  <si>
    <t>Ödemeler Toplamı</t>
  </si>
  <si>
    <t>SnyB-mesut</t>
  </si>
  <si>
    <t>SnyE-Emre</t>
  </si>
  <si>
    <t>SnyF-</t>
  </si>
  <si>
    <t>Sny G-</t>
  </si>
  <si>
    <t>31-12-2021 – 31-01-2022</t>
  </si>
  <si>
    <t>31-01-2022 – 28-02-2022</t>
  </si>
  <si>
    <t>28-02-2022 – 31-03-2022</t>
  </si>
  <si>
    <t>31-03-2022 – 30-04-2022</t>
  </si>
  <si>
    <t>30-04-2022 – 31-05-2022</t>
  </si>
  <si>
    <t>YENİ SAYAÇ YAZAR 53</t>
  </si>
  <si>
    <t>31-05-2022 – 30-06-2022</t>
  </si>
  <si>
    <t>hacı snyG kaynak işleri için eklenen KW</t>
  </si>
  <si>
    <t>önceki ay yanlışlıkla düşülen</t>
  </si>
  <si>
    <t>2021 bakiye</t>
  </si>
  <si>
    <t>TOPLAM</t>
  </si>
  <si>
    <t>fatura bedeli</t>
  </si>
  <si>
    <t>tl/kw</t>
  </si>
  <si>
    <t>motorcu mesut</t>
  </si>
  <si>
    <t>tüketim kw</t>
  </si>
  <si>
    <t>tutar</t>
  </si>
  <si>
    <t>ödeme</t>
  </si>
  <si>
    <t>hurdacı ali</t>
  </si>
  <si>
    <t>motorcu emre</t>
  </si>
  <si>
    <t>Demirci Merdal</t>
  </si>
  <si>
    <t>hacı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</si>
</sst>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8">
    <numFmt numFmtId="164" formatCode="[$₺-41F]#,##0.00;[Red]&quot;-&quot;[$₺-41F]#,##0.00"/>
    <numFmt numFmtId="165" formatCode="&quot;Yzr &quot;0&quot; Ton&quot;"/>
    <numFmt numFmtId="166" formatCode="&quot;GçnAy &quot;0&quot; Ton&quot;"/>
    <numFmt numFmtId="167" formatCode="&quot;Hrcm &quot;0&quot; Ton&quot;"/>
    <numFmt numFmtId="168" formatCode="&quot;TonFyt &quot;[$₺-41F]#,##0.00;[Red]&quot;-&quot;[$₺-41F]#,##0"/>
    <numFmt numFmtId="169" formatCode="&quot;KW &quot;0.00"/>
    <numFmt numFmtId="170" formatCode="[$₺-41F]#,##0.00;&quot;-&quot;[$₺-41F]#,##0.00"/>
    <numFmt numFmtId="171" formatCode="dd&quot;.&quot;mm&quot;.&quot;yy;@"/>
    <numFmt numFmtId="172" formatCode="#,##0&quot; &quot;;&quot;-&quot;#,##0&quot; &quot;"/>
    <numFmt numFmtId="173" formatCode="#,##0.000"/>
    <numFmt numFmtId="174" formatCode="0&quot; kw&quot;"/>
    <numFmt numFmtId="175" formatCode="&quot;Toplam Su &quot;#,##0"/>
    <numFmt numFmtId="176" formatCode="&quot;+ Su &quot;[$₺-41F]#,##0.00;[Red]&quot;-&quot;[$₺-41F]#,##0"/>
    <numFmt numFmtId="177" formatCode="&quot;- Su &quot;[$₺-41F]#,##0.00;[Red]&quot;-&quot;[$₺-41F]#,##0"/>
    <numFmt numFmtId="178" formatCode="%0.00"/>
    <numFmt numFmtId="179" formatCode="&quot;+  &quot;#,##0.000"/>
    <numFmt numFmtId="180" formatCode="dd&quot;.&quot;mm&quot;.&quot;yyyy"/>
    <numFmt numFmtId="181" formatCode="0.000"/>
    <numFmt numFmtId="182" formatCode="dd&quot;.&quot;mmm"/>
    <numFmt numFmtId="183" formatCode="[$₺-41F]#,##0.00;[Red]&quot;-&quot;[$₺-41F]#,##0"/>
    <numFmt numFmtId="184" formatCode="[$-41F]mmmm&quot; &quot;yy;@"/>
    <numFmt numFmtId="185" formatCode="[$₺-41F]#,##0.00"/>
    <numFmt numFmtId="186" formatCode="#,##0.000&quot; kw&quot;"/>
    <numFmt numFmtId="187" formatCode="&quot;+       &quot;%0.00"/>
    <numFmt numFmtId="188" formatCode="&quot;SuYzr &quot;#,##0.00&quot; T&quot;"/>
    <numFmt numFmtId="189" formatCode="&quot;Yzr &quot;#,##0.00&quot; Ton&quot;"/>
    <numFmt numFmtId="190" formatCode="&quot;Ö.Ay &quot;[$₺-41F]#,##0.00;[Red]&quot;-&quot;[$₺-41F]#,##0.00"/>
    <numFmt numFmtId="191" formatCode="[$₺-41F]#,##0.000;[Red]&quot;-&quot;[$₺-41F]#,##0.000"/>
  </numFmts>
  <fonts count="21">
    <font>
      <sz val="10"/>
      <color rgb="FF000000"/>
      <name val="Liberation Sans1"/>
      <charset val="162"/>
    </font>
    <font>
      <sz val="10"/>
      <color rgb="FF000000"/>
      <name val="Liberation Sans1"/>
      <charset val="162"/>
    </font>
    <font>
      <b/>
      <sz val="10"/>
      <color rgb="FF000000"/>
      <name val="Liberation Sans1"/>
      <charset val="162"/>
    </font>
    <font>
      <sz val="10"/>
      <color rgb="FFFFFFFF"/>
      <name val="Liberation Sans1"/>
      <charset val="162"/>
    </font>
    <font>
      <sz val="10"/>
      <color rgb="FFCC0000"/>
      <name val="Liberation Sans1"/>
      <charset val="162"/>
    </font>
    <font>
      <b/>
      <sz val="10"/>
      <color rgb="FFFFFFFF"/>
      <name val="Liberation Sans1"/>
      <charset val="162"/>
    </font>
    <font>
      <i/>
      <sz val="10"/>
      <color rgb="FF808080"/>
      <name val="Liberation Sans1"/>
      <charset val="162"/>
    </font>
    <font>
      <sz val="10"/>
      <color rgb="FF006600"/>
      <name val="Liberation Sans1"/>
      <charset val="162"/>
    </font>
    <font>
      <b/>
      <sz val="24"/>
      <color rgb="FF000000"/>
      <name val="Liberation Sans1"/>
      <charset val="162"/>
    </font>
    <font>
      <sz val="18"/>
      <color rgb="FF000000"/>
      <name val="Liberation Sans1"/>
      <charset val="162"/>
    </font>
    <font>
      <sz val="12"/>
      <color rgb="FF000000"/>
      <name val="Liberation Sans1"/>
      <charset val="162"/>
    </font>
    <font>
      <u/>
      <sz val="10"/>
      <color rgb="FF0000EE"/>
      <name val="Liberation Sans1"/>
      <charset val="162"/>
    </font>
    <font>
      <sz val="10"/>
      <color rgb="FF996600"/>
      <name val="Liberation Sans1"/>
      <charset val="162"/>
    </font>
    <font>
      <sz val="10"/>
      <color rgb="FF333333"/>
      <name val="Liberation Sans1"/>
      <charset val="162"/>
    </font>
    <font>
      <b/>
      <i/>
      <u/>
      <sz val="10"/>
      <color rgb="FF000000"/>
      <name val="Liberation Sans1"/>
      <charset val="162"/>
    </font>
    <font>
      <u/>
      <sz val="10"/>
      <color rgb="FF000000"/>
      <name val="Liberation Sans1"/>
      <charset val="162"/>
    </font>
    <font>
      <b/>
      <u/>
      <sz val="10"/>
      <color rgb="FF000000"/>
      <name val="Liberation Sans1"/>
      <charset val="162"/>
    </font>
    <font>
      <b/>
      <sz val="8"/>
      <color rgb="FF000000"/>
      <name val="Liberation Sans1"/>
      <charset val="162"/>
    </font>
    <font>
      <sz val="8"/>
      <color rgb="FF000000"/>
      <name val="Liberation Sans1"/>
      <charset val="162"/>
    </font>
    <font>
      <b/>
      <sz val="14"/>
      <color rgb="FF000000"/>
      <name val="Liberation Sans1"/>
      <charset val="162"/>
    </font>
    <font>
      <b/>
      <u/>
      <sz val="10"/>
      <color rgb="FFC9211E"/>
      <name val="Liberation Sans1"/>
      <charset val="162"/>
    </font>
  </fonts>
  <fills count="28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08080"/>
        <bgColor rgb="FF808080"/>
      </patternFill>
    </fill>
    <fill>
      <patternFill patternType="solid">
        <fgColor rgb="FFDDDDDD"/>
        <bgColor rgb="FFDDDDDD"/>
      </patternFill>
    </fill>
    <fill>
      <patternFill patternType="solid">
        <fgColor rgb="FFFFCCCC"/>
        <bgColor rgb="FFFFCCCC"/>
      </patternFill>
    </fill>
    <fill>
      <patternFill patternType="solid">
        <fgColor rgb="FFCC0000"/>
        <bgColor rgb="FFCC0000"/>
      </patternFill>
    </fill>
    <fill>
      <patternFill patternType="solid">
        <fgColor rgb="FFCCFFCC"/>
        <bgColor rgb="FFCCFFCC"/>
      </patternFill>
    </fill>
    <fill>
      <patternFill patternType="solid">
        <fgColor rgb="FFFFFFCC"/>
        <bgColor rgb="FFFFFFCC"/>
      </patternFill>
    </fill>
    <fill>
      <patternFill patternType="solid">
        <fgColor rgb="FFFFF2CC"/>
        <bgColor rgb="FFFFF2CC"/>
      </patternFill>
    </fill>
    <fill>
      <patternFill patternType="solid">
        <fgColor rgb="FFA9D08E"/>
        <bgColor rgb="FFA9D08E"/>
      </patternFill>
    </fill>
    <fill>
      <patternFill patternType="solid">
        <fgColor rgb="FFFFFF00"/>
        <bgColor rgb="FFFFFF00"/>
      </patternFill>
    </fill>
    <fill>
      <patternFill patternType="solid">
        <fgColor rgb="FFE2EFDA"/>
        <bgColor rgb="FFE2EFDA"/>
      </patternFill>
    </fill>
    <fill>
      <patternFill patternType="solid">
        <fgColor rgb="FFFFC000"/>
        <bgColor rgb="FFFFC000"/>
      </patternFill>
    </fill>
    <fill>
      <patternFill patternType="solid">
        <fgColor rgb="FFD0CECE"/>
        <bgColor rgb="FFD0CECE"/>
      </patternFill>
    </fill>
    <fill>
      <patternFill patternType="solid">
        <fgColor rgb="FFDDEBF7"/>
        <bgColor rgb="FFDDEBF7"/>
      </patternFill>
    </fill>
    <fill>
      <patternFill patternType="solid">
        <fgColor rgb="FFEDEDED"/>
        <bgColor rgb="FFEDEDED"/>
      </patternFill>
    </fill>
    <fill>
      <patternFill patternType="solid">
        <fgColor rgb="FFFCE4D6"/>
        <bgColor rgb="FFFCE4D6"/>
      </patternFill>
    </fill>
    <fill>
      <patternFill patternType="solid">
        <fgColor rgb="FFD9E1F2"/>
        <bgColor rgb="FFD9E1F2"/>
      </patternFill>
    </fill>
    <fill>
      <patternFill patternType="solid">
        <fgColor rgb="FFD4EA6B"/>
        <bgColor rgb="FFD4EA6B"/>
      </patternFill>
    </fill>
    <fill>
      <patternFill patternType="solid">
        <fgColor rgb="FFDEE6EF"/>
        <bgColor rgb="FFDEE6EF"/>
      </patternFill>
    </fill>
    <fill>
      <patternFill patternType="solid">
        <fgColor rgb="FFFFD7D7"/>
        <bgColor rgb="FFFFD7D7"/>
      </patternFill>
    </fill>
    <fill>
      <patternFill patternType="solid">
        <fgColor rgb="FFE8F2A1"/>
        <bgColor rgb="FFE8F2A1"/>
      </patternFill>
    </fill>
    <fill>
      <patternFill patternType="solid">
        <fgColor rgb="FFFFDBB6"/>
        <bgColor rgb="FFFFDBB6"/>
      </patternFill>
    </fill>
    <fill>
      <patternFill patternType="solid">
        <fgColor rgb="FFF6F9D4"/>
        <bgColor rgb="FFF6F9D4"/>
      </patternFill>
    </fill>
    <fill>
      <patternFill patternType="solid">
        <fgColor rgb="FFDEDCE6"/>
        <bgColor rgb="FFDEDCE6"/>
      </patternFill>
    </fill>
    <fill>
      <patternFill patternType="solid">
        <fgColor rgb="FFBBE33D"/>
        <bgColor rgb="FFBBE33D"/>
      </patternFill>
    </fill>
    <fill>
      <patternFill patternType="solid">
        <fgColor theme="9" tint="0.39997558519241921"/>
        <bgColor rgb="FFFFC000"/>
      </patternFill>
    </fill>
  </fills>
  <borders count="13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rgb="FF000000"/>
      </top>
      <bottom/>
      <diagonal/>
    </border>
  </borders>
  <cellStyleXfs count="19">
    <xf numFmtId="0" fontId="0" fillId="0" borderId="0"/>
    <xf numFmtId="0" fontId="2" fillId="0" borderId="0" applyNumberFormat="0" applyBorder="0" applyProtection="0"/>
    <xf numFmtId="0" fontId="3" fillId="2" borderId="0" applyNumberFormat="0" applyBorder="0" applyProtection="0"/>
    <xf numFmtId="0" fontId="3" fillId="3" borderId="0" applyNumberFormat="0" applyBorder="0" applyProtection="0"/>
    <xf numFmtId="0" fontId="2" fillId="4" borderId="0" applyNumberFormat="0" applyBorder="0" applyProtection="0"/>
    <xf numFmtId="0" fontId="4" fillId="5" borderId="0" applyNumberFormat="0" applyBorder="0" applyProtection="0"/>
    <xf numFmtId="0" fontId="5" fillId="6" borderId="0" applyNumberFormat="0" applyBorder="0" applyProtection="0"/>
    <xf numFmtId="0" fontId="6" fillId="0" borderId="0" applyNumberFormat="0" applyBorder="0" applyProtection="0"/>
    <xf numFmtId="0" fontId="7" fillId="7" borderId="0" applyNumberFormat="0" applyBorder="0" applyProtection="0"/>
    <xf numFmtId="0" fontId="8" fillId="0" borderId="0" applyNumberFormat="0" applyBorder="0" applyProtection="0"/>
    <xf numFmtId="0" fontId="9" fillId="0" borderId="0" applyNumberFormat="0" applyBorder="0" applyProtection="0"/>
    <xf numFmtId="0" fontId="10" fillId="0" borderId="0" applyNumberFormat="0" applyBorder="0" applyProtection="0"/>
    <xf numFmtId="0" fontId="11" fillId="0" borderId="0" applyNumberFormat="0" applyBorder="0" applyProtection="0"/>
    <xf numFmtId="0" fontId="12" fillId="8" borderId="0" applyNumberFormat="0" applyBorder="0" applyProtection="0"/>
    <xf numFmtId="0" fontId="13" fillId="8" borderId="1" applyNumberFormat="0" applyProtection="0"/>
    <xf numFmtId="0" fontId="14" fillId="0" borderId="0" applyNumberFormat="0" applyBorder="0" applyProtection="0"/>
    <xf numFmtId="0" fontId="1" fillId="0" borderId="0" applyNumberFormat="0" applyFont="0" applyBorder="0" applyProtection="0"/>
    <xf numFmtId="0" fontId="1" fillId="0" borderId="0" applyNumberFormat="0" applyFont="0" applyBorder="0" applyProtection="0"/>
    <xf numFmtId="0" fontId="4" fillId="0" borderId="0" applyNumberFormat="0" applyBorder="0" applyProtection="0"/>
  </cellStyleXfs>
  <cellXfs count="171">
    <xf numFmtId="0" fontId="0" fillId="0" borderId="0" xfId="0"/>
    <xf numFmtId="184" fontId="0" fillId="0" borderId="0" xfId="0" applyNumberFormat="1"/>
    <xf numFmtId="171" fontId="15" fillId="9" borderId="0" xfId="0" applyNumberFormat="1" applyFont="1" applyFill="1"/>
    <xf numFmtId="0" fontId="15" fillId="9" borderId="0" xfId="0" applyFont="1" applyFill="1"/>
    <xf numFmtId="0" fontId="2" fillId="9" borderId="0" xfId="0" applyFont="1" applyFill="1" applyAlignment="1">
      <alignment horizontal="right"/>
    </xf>
    <xf numFmtId="172" fontId="2" fillId="9" borderId="0" xfId="0" applyNumberFormat="1" applyFont="1" applyFill="1" applyAlignment="1">
      <alignment horizontal="right"/>
    </xf>
    <xf numFmtId="2" fontId="2" fillId="9" borderId="0" xfId="0" applyNumberFormat="1" applyFont="1" applyFill="1" applyAlignment="1">
      <alignment horizontal="center"/>
    </xf>
    <xf numFmtId="4" fontId="0" fillId="0" borderId="0" xfId="0" applyNumberFormat="1"/>
    <xf numFmtId="171" fontId="2" fillId="9" borderId="0" xfId="0" applyNumberFormat="1" applyFont="1" applyFill="1" applyAlignment="1">
      <alignment horizontal="right"/>
    </xf>
    <xf numFmtId="4" fontId="2" fillId="9" borderId="0" xfId="0" applyNumberFormat="1" applyFont="1" applyFill="1" applyAlignment="1">
      <alignment horizontal="right"/>
    </xf>
    <xf numFmtId="171" fontId="0" fillId="10" borderId="0" xfId="0" applyNumberFormat="1" applyFill="1"/>
    <xf numFmtId="0" fontId="0" fillId="10" borderId="0" xfId="0" applyFill="1"/>
    <xf numFmtId="4" fontId="0" fillId="10" borderId="0" xfId="0" applyNumberFormat="1" applyFill="1"/>
    <xf numFmtId="172" fontId="0" fillId="10" borderId="0" xfId="0" applyNumberFormat="1" applyFill="1"/>
    <xf numFmtId="2" fontId="0" fillId="10" borderId="0" xfId="0" applyNumberFormat="1" applyFill="1"/>
    <xf numFmtId="171" fontId="0" fillId="11" borderId="0" xfId="0" applyNumberFormat="1" applyFill="1"/>
    <xf numFmtId="0" fontId="0" fillId="11" borderId="0" xfId="0" applyFill="1"/>
    <xf numFmtId="4" fontId="0" fillId="9" borderId="0" xfId="0" applyNumberFormat="1" applyFill="1"/>
    <xf numFmtId="172" fontId="0" fillId="11" borderId="0" xfId="0" applyNumberFormat="1" applyFill="1"/>
    <xf numFmtId="2" fontId="0" fillId="9" borderId="0" xfId="0" applyNumberFormat="1" applyFill="1"/>
    <xf numFmtId="172" fontId="0" fillId="0" borderId="0" xfId="0" applyNumberFormat="1"/>
    <xf numFmtId="2" fontId="0" fillId="0" borderId="0" xfId="0" applyNumberFormat="1"/>
    <xf numFmtId="0" fontId="0" fillId="9" borderId="0" xfId="0" applyFill="1"/>
    <xf numFmtId="184" fontId="0" fillId="12" borderId="0" xfId="0" applyNumberFormat="1" applyFill="1"/>
    <xf numFmtId="4" fontId="0" fillId="12" borderId="0" xfId="0" applyNumberFormat="1" applyFill="1"/>
    <xf numFmtId="4" fontId="2" fillId="12" borderId="2" xfId="0" applyNumberFormat="1" applyFont="1" applyFill="1" applyBorder="1" applyAlignment="1">
      <alignment horizontal="right"/>
    </xf>
    <xf numFmtId="3" fontId="0" fillId="11" borderId="0" xfId="0" applyNumberFormat="1" applyFill="1"/>
    <xf numFmtId="185" fontId="0" fillId="12" borderId="0" xfId="0" applyNumberFormat="1" applyFill="1"/>
    <xf numFmtId="4" fontId="0" fillId="13" borderId="0" xfId="0" applyNumberFormat="1" applyFill="1"/>
    <xf numFmtId="4" fontId="0" fillId="0" borderId="0" xfId="0" applyNumberFormat="1" applyAlignment="1">
      <alignment horizontal="right"/>
    </xf>
    <xf numFmtId="4" fontId="2" fillId="14" borderId="0" xfId="0" applyNumberFormat="1" applyFont="1" applyFill="1"/>
    <xf numFmtId="4" fontId="0" fillId="12" borderId="0" xfId="0" applyNumberFormat="1" applyFill="1" applyAlignment="1">
      <alignment horizontal="right"/>
    </xf>
    <xf numFmtId="4" fontId="2" fillId="12" borderId="0" xfId="0" applyNumberFormat="1" applyFont="1" applyFill="1" applyAlignment="1">
      <alignment horizontal="right"/>
    </xf>
    <xf numFmtId="4" fontId="2" fillId="12" borderId="0" xfId="0" applyNumberFormat="1" applyFont="1" applyFill="1"/>
    <xf numFmtId="4" fontId="0" fillId="15" borderId="0" xfId="0" applyNumberFormat="1" applyFill="1"/>
    <xf numFmtId="4" fontId="2" fillId="15" borderId="2" xfId="0" applyNumberFormat="1" applyFont="1" applyFill="1" applyBorder="1" applyAlignment="1">
      <alignment horizontal="right"/>
    </xf>
    <xf numFmtId="4" fontId="2" fillId="15" borderId="0" xfId="0" applyNumberFormat="1" applyFont="1" applyFill="1" applyAlignment="1">
      <alignment horizontal="right"/>
    </xf>
    <xf numFmtId="4" fontId="2" fillId="9" borderId="2" xfId="0" applyNumberFormat="1" applyFont="1" applyFill="1" applyBorder="1" applyAlignment="1">
      <alignment horizontal="right"/>
    </xf>
    <xf numFmtId="3" fontId="0" fillId="9" borderId="0" xfId="0" applyNumberFormat="1" applyFill="1"/>
    <xf numFmtId="4" fontId="0" fillId="16" borderId="0" xfId="0" applyNumberFormat="1" applyFill="1"/>
    <xf numFmtId="0" fontId="0" fillId="16" borderId="0" xfId="0" applyFill="1"/>
    <xf numFmtId="4" fontId="2" fillId="16" borderId="2" xfId="0" applyNumberFormat="1" applyFont="1" applyFill="1" applyBorder="1" applyAlignment="1">
      <alignment horizontal="right"/>
    </xf>
    <xf numFmtId="4" fontId="2" fillId="16" borderId="0" xfId="0" applyNumberFormat="1" applyFont="1" applyFill="1" applyAlignment="1">
      <alignment horizontal="right"/>
    </xf>
    <xf numFmtId="4" fontId="0" fillId="17" borderId="0" xfId="0" applyNumberFormat="1" applyFill="1"/>
    <xf numFmtId="0" fontId="0" fillId="13" borderId="0" xfId="0" applyFill="1"/>
    <xf numFmtId="0" fontId="2" fillId="12" borderId="0" xfId="0" applyFont="1" applyFill="1"/>
    <xf numFmtId="0" fontId="0" fillId="17" borderId="0" xfId="0" applyFill="1"/>
    <xf numFmtId="4" fontId="2" fillId="17" borderId="2" xfId="0" applyNumberFormat="1" applyFont="1" applyFill="1" applyBorder="1" applyAlignment="1">
      <alignment horizontal="right"/>
    </xf>
    <xf numFmtId="4" fontId="2" fillId="17" borderId="0" xfId="0" applyNumberFormat="1" applyFont="1" applyFill="1" applyAlignment="1">
      <alignment horizontal="right"/>
    </xf>
    <xf numFmtId="0" fontId="0" fillId="18" borderId="0" xfId="0" applyFill="1"/>
    <xf numFmtId="4" fontId="2" fillId="18" borderId="2" xfId="0" applyNumberFormat="1" applyFont="1" applyFill="1" applyBorder="1" applyAlignment="1">
      <alignment horizontal="right"/>
    </xf>
    <xf numFmtId="4" fontId="2" fillId="18" borderId="0" xfId="0" applyNumberFormat="1" applyFont="1" applyFill="1" applyAlignment="1">
      <alignment horizontal="right"/>
    </xf>
    <xf numFmtId="4" fontId="0" fillId="18" borderId="0" xfId="0" applyNumberFormat="1" applyFill="1"/>
    <xf numFmtId="180" fontId="2" fillId="0" borderId="0" xfId="0" applyNumberFormat="1" applyFont="1" applyAlignment="1">
      <alignment horizontal="left"/>
    </xf>
    <xf numFmtId="180" fontId="0" fillId="0" borderId="0" xfId="0" applyNumberFormat="1"/>
    <xf numFmtId="180" fontId="0" fillId="0" borderId="3" xfId="0" applyNumberFormat="1" applyBorder="1" applyAlignment="1">
      <alignment horizontal="right"/>
    </xf>
    <xf numFmtId="180" fontId="0" fillId="0" borderId="4" xfId="0" applyNumberFormat="1" applyBorder="1" applyAlignment="1">
      <alignment horizontal="right"/>
    </xf>
    <xf numFmtId="0" fontId="0" fillId="0" borderId="0" xfId="0" applyAlignment="1">
      <alignment horizontal="right"/>
    </xf>
    <xf numFmtId="186" fontId="0" fillId="11" borderId="5" xfId="0" applyNumberFormat="1" applyFill="1" applyBorder="1"/>
    <xf numFmtId="186" fontId="0" fillId="0" borderId="6" xfId="0" applyNumberFormat="1" applyBorder="1"/>
    <xf numFmtId="173" fontId="0" fillId="0" borderId="0" xfId="0" applyNumberFormat="1"/>
    <xf numFmtId="0" fontId="16" fillId="0" borderId="2" xfId="0" applyFont="1" applyBorder="1" applyAlignment="1">
      <alignment horizontal="right"/>
    </xf>
    <xf numFmtId="164" fontId="16" fillId="11" borderId="2" xfId="0" applyNumberFormat="1" applyFont="1" applyFill="1" applyBorder="1"/>
    <xf numFmtId="164" fontId="16" fillId="0" borderId="2" xfId="0" applyNumberFormat="1" applyFont="1" applyBorder="1"/>
    <xf numFmtId="164" fontId="0" fillId="0" borderId="0" xfId="0" applyNumberFormat="1"/>
    <xf numFmtId="0" fontId="2" fillId="0" borderId="7" xfId="0" applyFont="1" applyBorder="1"/>
    <xf numFmtId="164" fontId="17" fillId="0" borderId="8" xfId="0" applyNumberFormat="1" applyFont="1" applyBorder="1"/>
    <xf numFmtId="179" fontId="17" fillId="0" borderId="8" xfId="0" applyNumberFormat="1" applyFont="1" applyBorder="1"/>
    <xf numFmtId="173" fontId="17" fillId="0" borderId="9" xfId="0" applyNumberFormat="1" applyFont="1" applyBorder="1"/>
    <xf numFmtId="174" fontId="0" fillId="11" borderId="10" xfId="0" applyNumberFormat="1" applyFill="1" applyBorder="1"/>
    <xf numFmtId="174" fontId="0" fillId="0" borderId="0" xfId="0" applyNumberFormat="1"/>
    <xf numFmtId="164" fontId="15" fillId="0" borderId="11" xfId="0" applyNumberFormat="1" applyFont="1" applyBorder="1"/>
    <xf numFmtId="164" fontId="18" fillId="0" borderId="10" xfId="0" applyNumberFormat="1" applyFont="1" applyBorder="1"/>
    <xf numFmtId="187" fontId="18" fillId="11" borderId="0" xfId="0" applyNumberFormat="1" applyFont="1" applyFill="1"/>
    <xf numFmtId="164" fontId="0" fillId="0" borderId="11" xfId="0" applyNumberFormat="1" applyBorder="1"/>
    <xf numFmtId="0" fontId="0" fillId="0" borderId="10" xfId="0" applyBorder="1"/>
    <xf numFmtId="183" fontId="0" fillId="0" borderId="0" xfId="0" applyNumberFormat="1"/>
    <xf numFmtId="164" fontId="16" fillId="19" borderId="11" xfId="0" applyNumberFormat="1" applyFont="1" applyFill="1" applyBorder="1"/>
    <xf numFmtId="164" fontId="18" fillId="0" borderId="10" xfId="0" applyNumberFormat="1" applyFont="1" applyBorder="1" applyAlignment="1">
      <alignment horizontal="right"/>
    </xf>
    <xf numFmtId="176" fontId="18" fillId="20" borderId="0" xfId="0" applyNumberFormat="1" applyFont="1" applyFill="1"/>
    <xf numFmtId="177" fontId="18" fillId="20" borderId="0" xfId="0" applyNumberFormat="1" applyFont="1" applyFill="1"/>
    <xf numFmtId="178" fontId="18" fillId="0" borderId="11" xfId="0" applyNumberFormat="1" applyFont="1" applyBorder="1"/>
    <xf numFmtId="188" fontId="18" fillId="20" borderId="10" xfId="0" applyNumberFormat="1" applyFont="1" applyFill="1" applyBorder="1" applyAlignment="1">
      <alignment horizontal="right"/>
    </xf>
    <xf numFmtId="166" fontId="18" fillId="0" borderId="0" xfId="0" applyNumberFormat="1" applyFont="1"/>
    <xf numFmtId="167" fontId="18" fillId="0" borderId="0" xfId="0" applyNumberFormat="1" applyFont="1"/>
    <xf numFmtId="168" fontId="18" fillId="20" borderId="11" xfId="0" applyNumberFormat="1" applyFont="1" applyFill="1" applyBorder="1"/>
    <xf numFmtId="0" fontId="2" fillId="0" borderId="0" xfId="0" applyFont="1"/>
    <xf numFmtId="165" fontId="18" fillId="20" borderId="10" xfId="0" applyNumberFormat="1" applyFont="1" applyFill="1" applyBorder="1" applyAlignment="1">
      <alignment horizontal="right"/>
    </xf>
    <xf numFmtId="174" fontId="0" fillId="11" borderId="3" xfId="0" applyNumberFormat="1" applyFill="1" applyBorder="1"/>
    <xf numFmtId="174" fontId="0" fillId="0" borderId="12" xfId="0" applyNumberFormat="1" applyBorder="1"/>
    <xf numFmtId="164" fontId="2" fillId="0" borderId="4" xfId="0" applyNumberFormat="1" applyFont="1" applyBorder="1"/>
    <xf numFmtId="189" fontId="18" fillId="20" borderId="10" xfId="0" applyNumberFormat="1" applyFont="1" applyFill="1" applyBorder="1" applyAlignment="1">
      <alignment horizontal="right"/>
    </xf>
    <xf numFmtId="174" fontId="0" fillId="21" borderId="10" xfId="0" applyNumberFormat="1" applyFill="1" applyBorder="1"/>
    <xf numFmtId="164" fontId="2" fillId="0" borderId="11" xfId="0" applyNumberFormat="1" applyFont="1" applyBorder="1"/>
    <xf numFmtId="164" fontId="0" fillId="11" borderId="0" xfId="0" applyNumberFormat="1" applyFill="1"/>
    <xf numFmtId="183" fontId="0" fillId="11" borderId="0" xfId="0" applyNumberFormat="1" applyFill="1"/>
    <xf numFmtId="190" fontId="18" fillId="0" borderId="10" xfId="0" applyNumberFormat="1" applyFont="1" applyBorder="1"/>
    <xf numFmtId="164" fontId="0" fillId="0" borderId="4" xfId="0" applyNumberFormat="1" applyBorder="1"/>
    <xf numFmtId="165" fontId="18" fillId="20" borderId="5" xfId="0" applyNumberFormat="1" applyFont="1" applyFill="1" applyBorder="1" applyAlignment="1">
      <alignment horizontal="right"/>
    </xf>
    <xf numFmtId="166" fontId="18" fillId="0" borderId="2" xfId="0" applyNumberFormat="1" applyFont="1" applyBorder="1"/>
    <xf numFmtId="167" fontId="18" fillId="0" borderId="2" xfId="0" applyNumberFormat="1" applyFont="1" applyBorder="1"/>
    <xf numFmtId="168" fontId="18" fillId="20" borderId="6" xfId="0" applyNumberFormat="1" applyFont="1" applyFill="1" applyBorder="1"/>
    <xf numFmtId="169" fontId="0" fillId="0" borderId="0" xfId="0" applyNumberFormat="1"/>
    <xf numFmtId="170" fontId="0" fillId="0" borderId="0" xfId="0" applyNumberFormat="1"/>
    <xf numFmtId="171" fontId="0" fillId="0" borderId="0" xfId="0" applyNumberFormat="1"/>
    <xf numFmtId="3" fontId="19" fillId="0" borderId="0" xfId="0" applyNumberFormat="1" applyFont="1"/>
    <xf numFmtId="4" fontId="0" fillId="11" borderId="0" xfId="0" applyNumberFormat="1" applyFill="1"/>
    <xf numFmtId="4" fontId="2" fillId="0" borderId="0" xfId="0" applyNumberFormat="1" applyFont="1" applyAlignment="1">
      <alignment horizontal="right"/>
    </xf>
    <xf numFmtId="4" fontId="2" fillId="0" borderId="0" xfId="0" applyNumberFormat="1" applyFont="1"/>
    <xf numFmtId="4" fontId="2" fillId="11" borderId="0" xfId="0" applyNumberFormat="1" applyFont="1" applyFill="1"/>
    <xf numFmtId="2" fontId="2" fillId="9" borderId="0" xfId="0" applyNumberFormat="1" applyFont="1" applyFill="1" applyAlignment="1">
      <alignment horizontal="right"/>
    </xf>
    <xf numFmtId="171" fontId="0" fillId="9" borderId="0" xfId="0" applyNumberFormat="1" applyFill="1"/>
    <xf numFmtId="4" fontId="2" fillId="15" borderId="0" xfId="0" applyNumberFormat="1" applyFont="1" applyFill="1"/>
    <xf numFmtId="4" fontId="2" fillId="9" borderId="0" xfId="0" applyNumberFormat="1" applyFont="1" applyFill="1"/>
    <xf numFmtId="4" fontId="2" fillId="16" borderId="0" xfId="0" applyNumberFormat="1" applyFont="1" applyFill="1"/>
    <xf numFmtId="4" fontId="2" fillId="17" borderId="0" xfId="0" applyNumberFormat="1" applyFont="1" applyFill="1"/>
    <xf numFmtId="4" fontId="2" fillId="18" borderId="0" xfId="0" applyNumberFormat="1" applyFont="1" applyFill="1"/>
    <xf numFmtId="0" fontId="19" fillId="0" borderId="0" xfId="0" applyFont="1" applyAlignment="1">
      <alignment horizontal="left"/>
    </xf>
    <xf numFmtId="0" fontId="0" fillId="11" borderId="5" xfId="0" applyFill="1" applyBorder="1"/>
    <xf numFmtId="173" fontId="0" fillId="11" borderId="6" xfId="0" applyNumberFormat="1" applyFill="1" applyBorder="1"/>
    <xf numFmtId="174" fontId="0" fillId="11" borderId="0" xfId="0" applyNumberFormat="1" applyFill="1"/>
    <xf numFmtId="164" fontId="16" fillId="0" borderId="11" xfId="0" applyNumberFormat="1" applyFont="1" applyBorder="1"/>
    <xf numFmtId="175" fontId="18" fillId="0" borderId="5" xfId="0" applyNumberFormat="1" applyFont="1" applyBorder="1" applyAlignment="1">
      <alignment horizontal="right"/>
    </xf>
    <xf numFmtId="176" fontId="18" fillId="11" borderId="0" xfId="0" applyNumberFormat="1" applyFont="1" applyFill="1"/>
    <xf numFmtId="177" fontId="18" fillId="11" borderId="0" xfId="0" applyNumberFormat="1" applyFont="1" applyFill="1"/>
    <xf numFmtId="178" fontId="18" fillId="0" borderId="6" xfId="0" applyNumberFormat="1" applyFont="1" applyBorder="1"/>
    <xf numFmtId="173" fontId="0" fillId="11" borderId="10" xfId="0" applyNumberFormat="1" applyFill="1" applyBorder="1"/>
    <xf numFmtId="173" fontId="0" fillId="11" borderId="0" xfId="0" applyNumberFormat="1" applyFill="1"/>
    <xf numFmtId="178" fontId="0" fillId="0" borderId="6" xfId="0" applyNumberFormat="1" applyBorder="1"/>
    <xf numFmtId="173" fontId="0" fillId="11" borderId="3" xfId="0" applyNumberFormat="1" applyFill="1" applyBorder="1"/>
    <xf numFmtId="173" fontId="0" fillId="11" borderId="12" xfId="0" applyNumberFormat="1" applyFill="1" applyBorder="1"/>
    <xf numFmtId="173" fontId="0" fillId="0" borderId="12" xfId="0" applyNumberFormat="1" applyBorder="1"/>
    <xf numFmtId="176" fontId="18" fillId="11" borderId="2" xfId="0" applyNumberFormat="1" applyFont="1" applyFill="1" applyBorder="1"/>
    <xf numFmtId="177" fontId="18" fillId="11" borderId="2" xfId="0" applyNumberFormat="1" applyFont="1" applyFill="1" applyBorder="1"/>
    <xf numFmtId="0" fontId="2" fillId="0" borderId="5" xfId="0" applyFont="1" applyBorder="1"/>
    <xf numFmtId="179" fontId="17" fillId="0" borderId="2" xfId="0" applyNumberFormat="1" applyFont="1" applyBorder="1"/>
    <xf numFmtId="173" fontId="17" fillId="0" borderId="6" xfId="0" applyNumberFormat="1" applyFont="1" applyBorder="1"/>
    <xf numFmtId="0" fontId="0" fillId="0" borderId="3" xfId="0" applyBorder="1"/>
    <xf numFmtId="0" fontId="0" fillId="0" borderId="12" xfId="0" applyBorder="1"/>
    <xf numFmtId="174" fontId="0" fillId="0" borderId="3" xfId="0" applyNumberFormat="1" applyBorder="1"/>
    <xf numFmtId="174" fontId="0" fillId="0" borderId="10" xfId="0" applyNumberFormat="1" applyBorder="1"/>
    <xf numFmtId="173" fontId="2" fillId="0" borderId="0" xfId="0" applyNumberFormat="1" applyFont="1"/>
    <xf numFmtId="164" fontId="16" fillId="22" borderId="11" xfId="0" applyNumberFormat="1" applyFont="1" applyFill="1" applyBorder="1"/>
    <xf numFmtId="180" fontId="0" fillId="0" borderId="0" xfId="0" applyNumberFormat="1" applyAlignment="1">
      <alignment horizontal="right"/>
    </xf>
    <xf numFmtId="181" fontId="0" fillId="0" borderId="0" xfId="0" applyNumberFormat="1"/>
    <xf numFmtId="0" fontId="2" fillId="0" borderId="0" xfId="0" applyFont="1" applyAlignment="1">
      <alignment horizontal="left"/>
    </xf>
    <xf numFmtId="182" fontId="0" fillId="0" borderId="0" xfId="0" applyNumberFormat="1"/>
    <xf numFmtId="2" fontId="2" fillId="0" borderId="0" xfId="0" applyNumberFormat="1" applyFont="1"/>
    <xf numFmtId="2" fontId="15" fillId="0" borderId="0" xfId="0" applyNumberFormat="1" applyFont="1"/>
    <xf numFmtId="2" fontId="16" fillId="0" borderId="0" xfId="0" applyNumberFormat="1" applyFont="1"/>
    <xf numFmtId="0" fontId="2" fillId="23" borderId="0" xfId="0" applyFont="1" applyFill="1"/>
    <xf numFmtId="183" fontId="0" fillId="23" borderId="0" xfId="0" applyNumberFormat="1" applyFill="1"/>
    <xf numFmtId="164" fontId="2" fillId="19" borderId="11" xfId="0" applyNumberFormat="1" applyFont="1" applyFill="1" applyBorder="1"/>
    <xf numFmtId="0" fontId="14" fillId="0" borderId="0" xfId="0" applyFont="1"/>
    <xf numFmtId="0" fontId="0" fillId="0" borderId="0" xfId="0" applyAlignment="1">
      <alignment wrapText="1"/>
    </xf>
    <xf numFmtId="2" fontId="0" fillId="24" borderId="0" xfId="0" applyNumberFormat="1" applyFill="1"/>
    <xf numFmtId="164" fontId="0" fillId="24" borderId="0" xfId="0" applyNumberFormat="1" applyFill="1"/>
    <xf numFmtId="0" fontId="0" fillId="24" borderId="0" xfId="0" applyFill="1"/>
    <xf numFmtId="4" fontId="0" fillId="24" borderId="0" xfId="0" applyNumberFormat="1" applyFill="1"/>
    <xf numFmtId="0" fontId="16" fillId="0" borderId="0" xfId="0" applyFont="1"/>
    <xf numFmtId="2" fontId="20" fillId="11" borderId="0" xfId="0" applyNumberFormat="1" applyFont="1" applyFill="1"/>
    <xf numFmtId="2" fontId="0" fillId="25" borderId="0" xfId="0" applyNumberFormat="1" applyFill="1"/>
    <xf numFmtId="2" fontId="0" fillId="26" borderId="0" xfId="0" applyNumberFormat="1" applyFill="1"/>
    <xf numFmtId="2" fontId="2" fillId="26" borderId="0" xfId="0" applyNumberFormat="1" applyFont="1" applyFill="1"/>
    <xf numFmtId="4" fontId="16" fillId="11" borderId="0" xfId="0" applyNumberFormat="1" applyFont="1" applyFill="1"/>
    <xf numFmtId="4" fontId="20" fillId="11" borderId="0" xfId="0" applyNumberFormat="1" applyFont="1" applyFill="1"/>
    <xf numFmtId="0" fontId="0" fillId="25" borderId="0" xfId="0" applyFill="1"/>
    <xf numFmtId="0" fontId="0" fillId="26" borderId="0" xfId="0" applyFill="1"/>
    <xf numFmtId="0" fontId="0" fillId="27" borderId="0" xfId="0" applyFill="1"/>
    <xf numFmtId="4" fontId="0" fillId="27" borderId="0" xfId="0" applyNumberFormat="1" applyFill="1"/>
    <xf numFmtId="191" fontId="16" fillId="0" borderId="2" xfId="0" applyNumberFormat="1" applyFont="1" applyBorder="1"/>
  </cellXfs>
  <cellStyles count="19">
    <cellStyle name="Accent" xfId="1" xr:uid="{00000000-0005-0000-0000-000000000000}"/>
    <cellStyle name="Accent 1" xfId="2" xr:uid="{00000000-0005-0000-0000-000001000000}"/>
    <cellStyle name="Accent 2" xfId="3" xr:uid="{00000000-0005-0000-0000-000002000000}"/>
    <cellStyle name="Accent 3" xfId="4" xr:uid="{00000000-0005-0000-0000-000003000000}"/>
    <cellStyle name="Bad" xfId="5" xr:uid="{00000000-0005-0000-0000-000004000000}"/>
    <cellStyle name="Error" xfId="6" xr:uid="{00000000-0005-0000-0000-000005000000}"/>
    <cellStyle name="Footnote" xfId="7" xr:uid="{00000000-0005-0000-0000-000006000000}"/>
    <cellStyle name="Good" xfId="8" xr:uid="{00000000-0005-0000-0000-000007000000}"/>
    <cellStyle name="Heading" xfId="9" xr:uid="{00000000-0005-0000-0000-000008000000}"/>
    <cellStyle name="Heading 1" xfId="10" xr:uid="{00000000-0005-0000-0000-000009000000}"/>
    <cellStyle name="Heading 2" xfId="11" xr:uid="{00000000-0005-0000-0000-00000A000000}"/>
    <cellStyle name="Hyperlink" xfId="12" xr:uid="{00000000-0005-0000-0000-00000B000000}"/>
    <cellStyle name="Neutral" xfId="13" xr:uid="{00000000-0005-0000-0000-00000C000000}"/>
    <cellStyle name="Normal" xfId="0" builtinId="0" customBuiltin="1"/>
    <cellStyle name="Note" xfId="14" xr:uid="{00000000-0005-0000-0000-00000E000000}"/>
    <cellStyle name="Result" xfId="15" xr:uid="{00000000-0005-0000-0000-00000F000000}"/>
    <cellStyle name="Status" xfId="16" xr:uid="{00000000-0005-0000-0000-000010000000}"/>
    <cellStyle name="Text" xfId="17" xr:uid="{00000000-0005-0000-0000-000011000000}"/>
    <cellStyle name="Warning" xfId="18" xr:uid="{00000000-0005-0000-0000-00001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FF17E19A-C557-4ADF-AAD0-8D40220B3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8417" y="0"/>
          <a:ext cx="5516180" cy="610328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171450</xdr:colOff>
      <xdr:row>0</xdr:row>
      <xdr:rowOff>0</xdr:rowOff>
    </xdr:from>
    <xdr:ext cx="5724025" cy="6272354"/>
    <xdr:pic>
      <xdr:nvPicPr>
        <xdr:cNvPr id="2" name="Resim 3">
          <a:extLst>
            <a:ext uri="{FF2B5EF4-FFF2-40B4-BE49-F238E27FC236}">
              <a16:creationId xmlns:a16="http://schemas.microsoft.com/office/drawing/2014/main" id="{65B04C7A-5630-4BAC-A776-8FF36C2B5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1425" y="0"/>
          <a:ext cx="5724025" cy="62723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29306</xdr:colOff>
      <xdr:row>0</xdr:row>
      <xdr:rowOff>36630</xdr:rowOff>
    </xdr:from>
    <xdr:ext cx="3293842" cy="6385008"/>
    <xdr:pic>
      <xdr:nvPicPr>
        <xdr:cNvPr id="2" name="Resim 2">
          <a:extLst>
            <a:ext uri="{FF2B5EF4-FFF2-40B4-BE49-F238E27FC236}">
              <a16:creationId xmlns:a16="http://schemas.microsoft.com/office/drawing/2014/main" id="{F048AFF5-E870-492E-9A96-BB527D51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39281" y="36630"/>
          <a:ext cx="3293842" cy="6385008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10</xdr:col>
      <xdr:colOff>65946</xdr:colOff>
      <xdr:row>6</xdr:row>
      <xdr:rowOff>139217</xdr:rowOff>
    </xdr:from>
    <xdr:ext cx="2333311" cy="3051115"/>
    <xdr:pic>
      <xdr:nvPicPr>
        <xdr:cNvPr id="3" name="Resim 3">
          <a:extLst>
            <a:ext uri="{FF2B5EF4-FFF2-40B4-BE49-F238E27FC236}">
              <a16:creationId xmlns:a16="http://schemas.microsoft.com/office/drawing/2014/main" id="{B799C46D-AC56-46E1-BD66-A68F9C2B3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23946" y="1110767"/>
          <a:ext cx="2333311" cy="30511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161921</xdr:colOff>
      <xdr:row>0</xdr:row>
      <xdr:rowOff>0</xdr:rowOff>
    </xdr:from>
    <xdr:ext cx="5495662" cy="6217737"/>
    <xdr:pic>
      <xdr:nvPicPr>
        <xdr:cNvPr id="2" name="Resim 1">
          <a:extLst>
            <a:ext uri="{FF2B5EF4-FFF2-40B4-BE49-F238E27FC236}">
              <a16:creationId xmlns:a16="http://schemas.microsoft.com/office/drawing/2014/main" id="{030212A7-84E2-4755-9C1C-73484EA1A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71896" y="0"/>
          <a:ext cx="5495662" cy="621773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201707</xdr:colOff>
      <xdr:row>0</xdr:row>
      <xdr:rowOff>0</xdr:rowOff>
    </xdr:from>
    <xdr:ext cx="5314163" cy="6271842"/>
    <xdr:pic>
      <xdr:nvPicPr>
        <xdr:cNvPr id="2" name="Resim 2">
          <a:extLst>
            <a:ext uri="{FF2B5EF4-FFF2-40B4-BE49-F238E27FC236}">
              <a16:creationId xmlns:a16="http://schemas.microsoft.com/office/drawing/2014/main" id="{5B421770-168E-4158-BF55-54CE0CE41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1682" y="0"/>
          <a:ext cx="5314163" cy="6271842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53336</xdr:colOff>
      <xdr:row>0</xdr:row>
      <xdr:rowOff>0</xdr:rowOff>
    </xdr:from>
    <xdr:ext cx="5762795" cy="5824810"/>
    <xdr:pic>
      <xdr:nvPicPr>
        <xdr:cNvPr id="2" name="Resim 1">
          <a:extLst>
            <a:ext uri="{FF2B5EF4-FFF2-40B4-BE49-F238E27FC236}">
              <a16:creationId xmlns:a16="http://schemas.microsoft.com/office/drawing/2014/main" id="{EC7C8BFC-8CD7-43FA-801C-EFF12D6DA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3311" y="0"/>
          <a:ext cx="5762795" cy="5824810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72703</xdr:colOff>
      <xdr:row>0</xdr:row>
      <xdr:rowOff>52248</xdr:rowOff>
    </xdr:from>
    <xdr:ext cx="5554458" cy="5472254"/>
    <xdr:pic>
      <xdr:nvPicPr>
        <xdr:cNvPr id="2" name="Resim 2">
          <a:extLst>
            <a:ext uri="{FF2B5EF4-FFF2-40B4-BE49-F238E27FC236}">
              <a16:creationId xmlns:a16="http://schemas.microsoft.com/office/drawing/2014/main" id="{CD3BEE6E-1DE9-432F-AEA4-776626B3C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2678" y="52248"/>
          <a:ext cx="5554458" cy="54722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47621</xdr:colOff>
      <xdr:row>0</xdr:row>
      <xdr:rowOff>0</xdr:rowOff>
    </xdr:from>
    <xdr:ext cx="5636105" cy="5671886"/>
    <xdr:pic>
      <xdr:nvPicPr>
        <xdr:cNvPr id="2" name="Resim 1">
          <a:extLst>
            <a:ext uri="{FF2B5EF4-FFF2-40B4-BE49-F238E27FC236}">
              <a16:creationId xmlns:a16="http://schemas.microsoft.com/office/drawing/2014/main" id="{A00027AC-431E-4389-A073-9135567A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596" y="0"/>
          <a:ext cx="5636105" cy="5671886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absoluteAnchor>
    <xdr:pos x="3661915" y="32762"/>
    <xdr:ext cx="6267242" cy="6331323"/>
    <xdr:pic>
      <xdr:nvPicPr>
        <xdr:cNvPr id="2" name="Image 17">
          <a:extLst>
            <a:ext uri="{FF2B5EF4-FFF2-40B4-BE49-F238E27FC236}">
              <a16:creationId xmlns:a16="http://schemas.microsoft.com/office/drawing/2014/main" id="{C5ED0674-3A51-41B8-B3DF-0CBA718E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61915" y="32762"/>
          <a:ext cx="6267242" cy="6331323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8.xml><?xml version="1.0" encoding="utf-8"?>
<xdr:wsDr xmlns:xdr="http://schemas.openxmlformats.org/drawingml/2006/spreadsheetDrawing" xmlns:a="http://schemas.openxmlformats.org/drawingml/2006/main">
  <xdr:absoluteAnchor>
    <xdr:pos x="3655442" y="0"/>
    <xdr:ext cx="6341043" cy="6398276"/>
    <xdr:pic>
      <xdr:nvPicPr>
        <xdr:cNvPr id="2" name="Image 16">
          <a:extLst>
            <a:ext uri="{FF2B5EF4-FFF2-40B4-BE49-F238E27FC236}">
              <a16:creationId xmlns:a16="http://schemas.microsoft.com/office/drawing/2014/main" id="{80D68075-3C26-4E6B-873E-F9E466FA4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5442" y="0"/>
          <a:ext cx="6341043" cy="639827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9.xml><?xml version="1.0" encoding="utf-8"?>
<xdr:wsDr xmlns:xdr="http://schemas.openxmlformats.org/drawingml/2006/spreadsheetDrawing" xmlns:a="http://schemas.openxmlformats.org/drawingml/2006/main">
  <xdr:absoluteAnchor>
    <xdr:pos x="3656164" y="32397"/>
    <xdr:ext cx="6330958" cy="6405115"/>
    <xdr:pic>
      <xdr:nvPicPr>
        <xdr:cNvPr id="2" name="Image 15">
          <a:extLst>
            <a:ext uri="{FF2B5EF4-FFF2-40B4-BE49-F238E27FC236}">
              <a16:creationId xmlns:a16="http://schemas.microsoft.com/office/drawing/2014/main" id="{91F9F6E1-26B9-48C4-AA4F-F307B0109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32397"/>
          <a:ext cx="6330958" cy="64051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AD1CD7A5-0DE3-49EE-BED8-CF6127B9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6736" y="0"/>
          <a:ext cx="5482002" cy="5916706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absoluteAnchor>
    <xdr:pos x="3688561" y="78117"/>
    <xdr:ext cx="6181563" cy="6351120"/>
    <xdr:pic>
      <xdr:nvPicPr>
        <xdr:cNvPr id="2" name="Image 14">
          <a:extLst>
            <a:ext uri="{FF2B5EF4-FFF2-40B4-BE49-F238E27FC236}">
              <a16:creationId xmlns:a16="http://schemas.microsoft.com/office/drawing/2014/main" id="{9FB3E52B-21A5-4966-B84A-A5ED6D52A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88561" y="78117"/>
          <a:ext cx="6181563" cy="635112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1.xml><?xml version="1.0" encoding="utf-8"?>
<xdr:wsDr xmlns:xdr="http://schemas.openxmlformats.org/drawingml/2006/spreadsheetDrawing" xmlns:a="http://schemas.openxmlformats.org/drawingml/2006/main">
  <xdr:absoluteAnchor>
    <xdr:pos x="3695035" y="71277"/>
    <xdr:ext cx="6168597" cy="6351477"/>
    <xdr:pic>
      <xdr:nvPicPr>
        <xdr:cNvPr id="2" name="Image 13">
          <a:extLst>
            <a:ext uri="{FF2B5EF4-FFF2-40B4-BE49-F238E27FC236}">
              <a16:creationId xmlns:a16="http://schemas.microsoft.com/office/drawing/2014/main" id="{6FFDE186-352A-4842-9B23-C206559A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5035" y="71277"/>
          <a:ext cx="6168597" cy="635147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2.xml><?xml version="1.0" encoding="utf-8"?>
<xdr:wsDr xmlns:xdr="http://schemas.openxmlformats.org/drawingml/2006/spreadsheetDrawing" xmlns:a="http://schemas.openxmlformats.org/drawingml/2006/main">
  <xdr:absoluteAnchor>
    <xdr:pos x="4030913" y="4279"/>
    <xdr:ext cx="1973156" cy="5289840"/>
    <xdr:pic>
      <xdr:nvPicPr>
        <xdr:cNvPr id="2" name="Image 1">
          <a:extLst>
            <a:ext uri="{FF2B5EF4-FFF2-40B4-BE49-F238E27FC236}">
              <a16:creationId xmlns:a16="http://schemas.microsoft.com/office/drawing/2014/main" id="{38C662E8-0900-434C-B986-C1D29C57A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 b="37651"/>
        <a:stretch>
          <a:fillRect/>
        </a:stretch>
      </xdr:blipFill>
      <xdr:spPr>
        <a:xfrm rot="14989">
          <a:off x="4030913" y="4279"/>
          <a:ext cx="1973156" cy="528984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3.xml><?xml version="1.0" encoding="utf-8"?>
<xdr:wsDr xmlns:xdr="http://schemas.openxmlformats.org/drawingml/2006/spreadsheetDrawing" xmlns:a="http://schemas.openxmlformats.org/drawingml/2006/main">
  <xdr:absoluteAnchor>
    <xdr:pos x="3927960" y="0"/>
    <xdr:ext cx="2212198" cy="5307479"/>
    <xdr:pic>
      <xdr:nvPicPr>
        <xdr:cNvPr id="2" name="Image 2">
          <a:extLst>
            <a:ext uri="{FF2B5EF4-FFF2-40B4-BE49-F238E27FC236}">
              <a16:creationId xmlns:a16="http://schemas.microsoft.com/office/drawing/2014/main" id="{6C9E9352-3650-4BEC-8E4B-DF769A24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927960" y="0"/>
          <a:ext cx="2212198" cy="530747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4.xml><?xml version="1.0" encoding="utf-8"?>
<xdr:wsDr xmlns:xdr="http://schemas.openxmlformats.org/drawingml/2006/spreadsheetDrawing" xmlns:a="http://schemas.openxmlformats.org/drawingml/2006/main">
  <xdr:absoluteAnchor>
    <xdr:pos x="3758760" y="0"/>
    <xdr:ext cx="5401077" cy="5392436"/>
    <xdr:pic>
      <xdr:nvPicPr>
        <xdr:cNvPr id="2" name="Image 3">
          <a:extLst>
            <a:ext uri="{FF2B5EF4-FFF2-40B4-BE49-F238E27FC236}">
              <a16:creationId xmlns:a16="http://schemas.microsoft.com/office/drawing/2014/main" id="{4E047074-6B13-487D-AAA6-313C49273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58760" y="0"/>
          <a:ext cx="5401077" cy="539243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3608643" y="0"/>
    <xdr:ext cx="5366878" cy="5358237"/>
    <xdr:pic>
      <xdr:nvPicPr>
        <xdr:cNvPr id="2" name="Image 4">
          <a:extLst>
            <a:ext uri="{FF2B5EF4-FFF2-40B4-BE49-F238E27FC236}">
              <a16:creationId xmlns:a16="http://schemas.microsoft.com/office/drawing/2014/main" id="{7B052729-C965-45AD-BC0B-B6D1DDF93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08643" y="0"/>
          <a:ext cx="5366878" cy="535823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6.xml><?xml version="1.0" encoding="utf-8"?>
<xdr:wsDr xmlns:xdr="http://schemas.openxmlformats.org/drawingml/2006/spreadsheetDrawing" xmlns:a="http://schemas.openxmlformats.org/drawingml/2006/main">
  <xdr:absoluteAnchor>
    <xdr:pos x="4349517" y="173159"/>
    <xdr:ext cx="5048640" cy="5499722"/>
    <xdr:pic>
      <xdr:nvPicPr>
        <xdr:cNvPr id="2" name="Image 5">
          <a:extLst>
            <a:ext uri="{FF2B5EF4-FFF2-40B4-BE49-F238E27FC236}">
              <a16:creationId xmlns:a16="http://schemas.microsoft.com/office/drawing/2014/main" id="{4F1DD9E9-36EF-4329-822A-4836562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4349517" y="173159"/>
          <a:ext cx="5048640" cy="549972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7.xml><?xml version="1.0" encoding="utf-8"?>
<xdr:wsDr xmlns:xdr="http://schemas.openxmlformats.org/drawingml/2006/spreadsheetDrawing" xmlns:a="http://schemas.openxmlformats.org/drawingml/2006/main">
  <xdr:absoluteAnchor>
    <xdr:pos x="3701518" y="34564"/>
    <xdr:ext cx="5817239" cy="5852882"/>
    <xdr:pic>
      <xdr:nvPicPr>
        <xdr:cNvPr id="2" name="Image 6">
          <a:extLst>
            <a:ext uri="{FF2B5EF4-FFF2-40B4-BE49-F238E27FC236}">
              <a16:creationId xmlns:a16="http://schemas.microsoft.com/office/drawing/2014/main" id="{CE45E960-A074-4E48-A528-88312BBF7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01518" y="34564"/>
          <a:ext cx="5817239" cy="585288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8.xml><?xml version="1.0" encoding="utf-8"?>
<xdr:wsDr xmlns:xdr="http://schemas.openxmlformats.org/drawingml/2006/spreadsheetDrawing" xmlns:a="http://schemas.openxmlformats.org/drawingml/2006/main">
  <xdr:absoluteAnchor>
    <xdr:pos x="3837599" y="548640"/>
    <xdr:ext cx="5466237" cy="5713921"/>
    <xdr:pic>
      <xdr:nvPicPr>
        <xdr:cNvPr id="2" name="Image 7">
          <a:extLst>
            <a:ext uri="{FF2B5EF4-FFF2-40B4-BE49-F238E27FC236}">
              <a16:creationId xmlns:a16="http://schemas.microsoft.com/office/drawing/2014/main" id="{DA050EAF-2A47-416A-81DF-2B28FC512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37599" y="548640"/>
          <a:ext cx="5466237" cy="5713921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9.xml><?xml version="1.0" encoding="utf-8"?>
<xdr:wsDr xmlns:xdr="http://schemas.openxmlformats.org/drawingml/2006/spreadsheetDrawing" xmlns:a="http://schemas.openxmlformats.org/drawingml/2006/main">
  <xdr:absoluteAnchor>
    <xdr:pos x="3693956" y="0"/>
    <xdr:ext cx="5538959" cy="5730124"/>
    <xdr:pic>
      <xdr:nvPicPr>
        <xdr:cNvPr id="2" name="Image 10">
          <a:extLst>
            <a:ext uri="{FF2B5EF4-FFF2-40B4-BE49-F238E27FC236}">
              <a16:creationId xmlns:a16="http://schemas.microsoft.com/office/drawing/2014/main" id="{D6D8C54E-90E7-4AD3-B0B4-8BC14AA1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3956" y="0"/>
          <a:ext cx="5538959" cy="5730124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21569</xdr:colOff>
      <xdr:row>0</xdr:row>
      <xdr:rowOff>0</xdr:rowOff>
    </xdr:from>
    <xdr:to>
      <xdr:col>13</xdr:col>
      <xdr:colOff>502077</xdr:colOff>
      <xdr:row>37</xdr:row>
      <xdr:rowOff>24213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6EB8EAEB-8DE3-4ADB-9AA6-EFEBB342D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8080" y="0"/>
          <a:ext cx="5563395" cy="595136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absoluteAnchor>
    <xdr:pos x="3826800" y="13322"/>
    <xdr:ext cx="5382002" cy="5526715"/>
    <xdr:pic>
      <xdr:nvPicPr>
        <xdr:cNvPr id="2" name="Image 8">
          <a:extLst>
            <a:ext uri="{FF2B5EF4-FFF2-40B4-BE49-F238E27FC236}">
              <a16:creationId xmlns:a16="http://schemas.microsoft.com/office/drawing/2014/main" id="{9D3C89D1-12F9-4096-8D9E-54B6D954C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26800" y="13322"/>
          <a:ext cx="5382002" cy="55267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1.xml><?xml version="1.0" encoding="utf-8"?>
<xdr:wsDr xmlns:xdr="http://schemas.openxmlformats.org/drawingml/2006/spreadsheetDrawing" xmlns:a="http://schemas.openxmlformats.org/drawingml/2006/main">
  <xdr:absoluteAnchor>
    <xdr:pos x="3722403" y="182523"/>
    <xdr:ext cx="5529596" cy="5669280"/>
    <xdr:pic>
      <xdr:nvPicPr>
        <xdr:cNvPr id="2" name="Image 9">
          <a:extLst>
            <a:ext uri="{FF2B5EF4-FFF2-40B4-BE49-F238E27FC236}">
              <a16:creationId xmlns:a16="http://schemas.microsoft.com/office/drawing/2014/main" id="{83076E0D-32DD-4188-BA5D-D33794E23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22403" y="182523"/>
          <a:ext cx="5529596" cy="566928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2.xml><?xml version="1.0" encoding="utf-8"?>
<xdr:wsDr xmlns:xdr="http://schemas.openxmlformats.org/drawingml/2006/spreadsheetDrawing" xmlns:a="http://schemas.openxmlformats.org/drawingml/2006/main">
  <xdr:absoluteAnchor>
    <xdr:pos x="3656164" y="65160"/>
    <xdr:ext cx="5571000" cy="5695559"/>
    <xdr:pic>
      <xdr:nvPicPr>
        <xdr:cNvPr id="2" name="Image 11">
          <a:extLst>
            <a:ext uri="{FF2B5EF4-FFF2-40B4-BE49-F238E27FC236}">
              <a16:creationId xmlns:a16="http://schemas.microsoft.com/office/drawing/2014/main" id="{A4ED74A3-2FBC-4F95-84B3-D66E86665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65160"/>
          <a:ext cx="5571000" cy="569555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3.xml><?xml version="1.0" encoding="utf-8"?>
<xdr:wsDr xmlns:xdr="http://schemas.openxmlformats.org/drawingml/2006/spreadsheetDrawing" xmlns:a="http://schemas.openxmlformats.org/drawingml/2006/main">
  <xdr:absoluteAnchor>
    <xdr:pos x="3610078" y="162717"/>
    <xdr:ext cx="5543998" cy="5537158"/>
    <xdr:pic>
      <xdr:nvPicPr>
        <xdr:cNvPr id="2" name="Image 12">
          <a:extLst>
            <a:ext uri="{FF2B5EF4-FFF2-40B4-BE49-F238E27FC236}">
              <a16:creationId xmlns:a16="http://schemas.microsoft.com/office/drawing/2014/main" id="{B79934C3-C073-41FB-BF68-91F51E402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10078" y="162717"/>
          <a:ext cx="5543998" cy="5537158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</xdr:colOff>
      <xdr:row>0</xdr:row>
      <xdr:rowOff>57149</xdr:rowOff>
    </xdr:from>
    <xdr:to>
      <xdr:col>13</xdr:col>
      <xdr:colOff>607257</xdr:colOff>
      <xdr:row>39</xdr:row>
      <xdr:rowOff>47625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CEE815B-3938-4FD7-87C5-9E94632C1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025" y="57149"/>
          <a:ext cx="5665032" cy="630555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114300</xdr:colOff>
      <xdr:row>0</xdr:row>
      <xdr:rowOff>0</xdr:rowOff>
    </xdr:from>
    <xdr:ext cx="5475070" cy="6060954"/>
    <xdr:pic>
      <xdr:nvPicPr>
        <xdr:cNvPr id="2" name="Resim 2">
          <a:extLst>
            <a:ext uri="{FF2B5EF4-FFF2-40B4-BE49-F238E27FC236}">
              <a16:creationId xmlns:a16="http://schemas.microsoft.com/office/drawing/2014/main" id="{F68119D1-DD42-47C1-A857-AF60CEC24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24275" y="0"/>
          <a:ext cx="5475070" cy="60609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175244</xdr:colOff>
      <xdr:row>0</xdr:row>
      <xdr:rowOff>0</xdr:rowOff>
    </xdr:from>
    <xdr:ext cx="5548634" cy="6143625"/>
    <xdr:pic>
      <xdr:nvPicPr>
        <xdr:cNvPr id="2" name="Resim 2">
          <a:extLst>
            <a:ext uri="{FF2B5EF4-FFF2-40B4-BE49-F238E27FC236}">
              <a16:creationId xmlns:a16="http://schemas.microsoft.com/office/drawing/2014/main" id="{3B785D92-6BD3-4D27-A794-65EE191A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5219" y="0"/>
          <a:ext cx="5548634" cy="614362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9528</xdr:colOff>
      <xdr:row>0</xdr:row>
      <xdr:rowOff>9528</xdr:rowOff>
    </xdr:from>
    <xdr:ext cx="5626769" cy="6174705"/>
    <xdr:pic>
      <xdr:nvPicPr>
        <xdr:cNvPr id="2" name="Resim 3">
          <a:extLst>
            <a:ext uri="{FF2B5EF4-FFF2-40B4-BE49-F238E27FC236}">
              <a16:creationId xmlns:a16="http://schemas.microsoft.com/office/drawing/2014/main" id="{E30E3E0F-3583-4F99-AA8C-5059B153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3" y="9528"/>
          <a:ext cx="5626769" cy="617470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19705</xdr:colOff>
      <xdr:row>0</xdr:row>
      <xdr:rowOff>13139</xdr:rowOff>
    </xdr:from>
    <xdr:ext cx="3034866" cy="5822871"/>
    <xdr:pic>
      <xdr:nvPicPr>
        <xdr:cNvPr id="2" name="Resim 2">
          <a:extLst>
            <a:ext uri="{FF2B5EF4-FFF2-40B4-BE49-F238E27FC236}">
              <a16:creationId xmlns:a16="http://schemas.microsoft.com/office/drawing/2014/main" id="{4B44EB07-1AB3-49CD-9C3E-B05434EAF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680" y="13139"/>
          <a:ext cx="3034866" cy="5822871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9</xdr:col>
      <xdr:colOff>400708</xdr:colOff>
      <xdr:row>0</xdr:row>
      <xdr:rowOff>26279</xdr:rowOff>
    </xdr:from>
    <xdr:ext cx="2698805" cy="3750877"/>
    <xdr:pic>
      <xdr:nvPicPr>
        <xdr:cNvPr id="3" name="Resim 3">
          <a:extLst>
            <a:ext uri="{FF2B5EF4-FFF2-40B4-BE49-F238E27FC236}">
              <a16:creationId xmlns:a16="http://schemas.microsoft.com/office/drawing/2014/main" id="{A7BF1CC0-6144-419D-9DE9-F856D868A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9108" y="26279"/>
          <a:ext cx="2698805" cy="375087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38359</xdr:colOff>
      <xdr:row>0</xdr:row>
      <xdr:rowOff>20445</xdr:rowOff>
    </xdr:from>
    <xdr:ext cx="5583253" cy="6442615"/>
    <xdr:pic>
      <xdr:nvPicPr>
        <xdr:cNvPr id="2" name="Resim 2">
          <a:extLst>
            <a:ext uri="{FF2B5EF4-FFF2-40B4-BE49-F238E27FC236}">
              <a16:creationId xmlns:a16="http://schemas.microsoft.com/office/drawing/2014/main" id="{5534AF06-FD0D-4AF6-AAEF-16D02C3B0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48334" y="20445"/>
          <a:ext cx="5583253" cy="64426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5"/>
  <sheetViews>
    <sheetView topLeftCell="A49" zoomScale="175" zoomScaleNormal="175" workbookViewId="0">
      <selection activeCell="B62" sqref="B62"/>
    </sheetView>
  </sheetViews>
  <sheetFormatPr defaultRowHeight="12.75"/>
  <cols>
    <col min="1" max="1" width="1.5703125" style="7" customWidth="1"/>
    <col min="2" max="2" width="10.5703125" style="7" customWidth="1"/>
    <col min="3" max="3" width="10.85546875" style="7" customWidth="1"/>
    <col min="4" max="6" width="10.28515625" style="7" customWidth="1"/>
    <col min="7" max="7" width="8.42578125" style="7" bestFit="1" customWidth="1"/>
    <col min="8" max="8" width="9" style="7" bestFit="1" customWidth="1"/>
    <col min="9" max="9" width="6.85546875" bestFit="1" customWidth="1"/>
    <col min="10" max="11" width="8.42578125" bestFit="1" customWidth="1"/>
    <col min="12" max="12" width="9" bestFit="1" customWidth="1"/>
    <col min="13" max="13" width="8.42578125" bestFit="1" customWidth="1"/>
    <col min="14" max="14" width="6.85546875" bestFit="1" customWidth="1"/>
    <col min="15" max="16" width="8.42578125" bestFit="1" customWidth="1"/>
    <col min="17" max="17" width="9" bestFit="1" customWidth="1"/>
    <col min="18" max="18" width="8.42578125" bestFit="1" customWidth="1"/>
    <col min="19" max="19" width="6.5703125" bestFit="1" customWidth="1"/>
    <col min="20" max="20" width="7.28515625" bestFit="1" customWidth="1"/>
    <col min="21" max="21" width="8" bestFit="1" customWidth="1"/>
    <col min="22" max="22" width="6.7109375" bestFit="1" customWidth="1"/>
    <col min="23" max="23" width="1" customWidth="1"/>
    <col min="24" max="24" width="9.140625" customWidth="1"/>
  </cols>
  <sheetData>
    <row r="1" spans="1:28" s="7" customFormat="1">
      <c r="A1" s="1"/>
      <c r="B1" s="2" t="s">
        <v>0</v>
      </c>
      <c r="C1" s="3"/>
      <c r="D1" s="4" t="s">
        <v>1</v>
      </c>
      <c r="E1" s="5" t="s">
        <v>2</v>
      </c>
      <c r="F1" s="6" t="s">
        <v>3</v>
      </c>
      <c r="I1"/>
      <c r="J1"/>
      <c r="K1"/>
      <c r="L1"/>
      <c r="M1"/>
      <c r="N1"/>
      <c r="O1"/>
      <c r="P1"/>
      <c r="Q1"/>
      <c r="R1"/>
      <c r="S1"/>
      <c r="T1"/>
      <c r="U1"/>
      <c r="V1"/>
      <c r="W1"/>
      <c r="X1"/>
      <c r="Y1"/>
      <c r="Z1"/>
      <c r="AA1"/>
      <c r="AB1"/>
    </row>
    <row r="2" spans="1:28" s="7" customFormat="1">
      <c r="A2" s="1"/>
      <c r="B2" s="8" t="s">
        <v>4</v>
      </c>
      <c r="C2" s="9" t="s">
        <v>5</v>
      </c>
      <c r="D2" s="9" t="s">
        <v>6</v>
      </c>
      <c r="E2" s="5" t="s">
        <v>7</v>
      </c>
      <c r="F2" s="6" t="s">
        <v>8</v>
      </c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</row>
    <row r="3" spans="1:28" s="7" customFormat="1">
      <c r="A3" s="1"/>
      <c r="B3" s="10">
        <v>45291</v>
      </c>
      <c r="C3" s="11">
        <v>1386.2190000000001</v>
      </c>
      <c r="D3" s="12">
        <f>60*19.52</f>
        <v>1171.2</v>
      </c>
      <c r="E3" s="13">
        <v>4335</v>
      </c>
      <c r="F3" s="14">
        <f t="shared" ref="F3:F9" si="0">E3/D3</f>
        <v>3.7013319672131146</v>
      </c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</row>
    <row r="4" spans="1:28" s="7" customFormat="1">
      <c r="A4" s="1"/>
      <c r="B4" s="15">
        <v>45322</v>
      </c>
      <c r="C4" s="16">
        <v>1402.693</v>
      </c>
      <c r="D4" s="17">
        <f t="shared" ref="D4:D9" si="1">60*(C4-C3)</f>
        <v>988.43999999999596</v>
      </c>
      <c r="E4" s="18">
        <v>3490</v>
      </c>
      <c r="F4" s="19">
        <f t="shared" si="0"/>
        <v>3.5308162356845272</v>
      </c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</row>
    <row r="5" spans="1:28" s="7" customFormat="1">
      <c r="A5" s="1"/>
      <c r="B5" s="15">
        <v>45351</v>
      </c>
      <c r="C5" s="16">
        <v>1423.7180000000001</v>
      </c>
      <c r="D5" s="17">
        <f t="shared" si="1"/>
        <v>1261.5000000000055</v>
      </c>
      <c r="E5" s="18">
        <v>4825</v>
      </c>
      <c r="F5" s="19">
        <f t="shared" si="0"/>
        <v>3.8248117320649855</v>
      </c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</row>
    <row r="6" spans="1:28" s="7" customFormat="1">
      <c r="A6" s="1"/>
      <c r="B6" s="15">
        <v>45382</v>
      </c>
      <c r="C6" s="16">
        <v>1440.3389999999999</v>
      </c>
      <c r="D6" s="17">
        <f t="shared" si="1"/>
        <v>997.25999999999203</v>
      </c>
      <c r="E6" s="18">
        <v>3530</v>
      </c>
      <c r="F6" s="19">
        <f t="shared" si="0"/>
        <v>3.5396987746425488</v>
      </c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</row>
    <row r="7" spans="1:28" s="7" customFormat="1">
      <c r="A7" s="1"/>
      <c r="B7" s="15">
        <v>45412</v>
      </c>
      <c r="C7" s="16">
        <v>1454.4670000000001</v>
      </c>
      <c r="D7" s="17">
        <f t="shared" si="1"/>
        <v>847.68000000000939</v>
      </c>
      <c r="E7" s="18">
        <v>2935</v>
      </c>
      <c r="F7" s="19">
        <f t="shared" si="0"/>
        <v>3.462391468478633</v>
      </c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</row>
    <row r="8" spans="1:28" s="7" customFormat="1">
      <c r="A8" s="1"/>
      <c r="B8" s="15">
        <v>45443</v>
      </c>
      <c r="C8" s="16">
        <v>1475.027</v>
      </c>
      <c r="D8" s="17">
        <f t="shared" si="1"/>
        <v>1233.5999999999967</v>
      </c>
      <c r="E8" s="18">
        <v>4625</v>
      </c>
      <c r="F8" s="19">
        <f t="shared" si="0"/>
        <v>3.7491893644617478</v>
      </c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</row>
    <row r="9" spans="1:28" s="7" customFormat="1">
      <c r="A9" s="1"/>
      <c r="B9" s="15">
        <v>45473</v>
      </c>
      <c r="C9" s="16">
        <v>1487.3710000000001</v>
      </c>
      <c r="D9" s="17">
        <f t="shared" si="1"/>
        <v>740.64000000000306</v>
      </c>
      <c r="E9" s="18">
        <v>2565</v>
      </c>
      <c r="F9" s="19">
        <f t="shared" si="0"/>
        <v>3.4632209980557214</v>
      </c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</row>
    <row r="10" spans="1:28" s="7" customFormat="1">
      <c r="A10" s="1"/>
      <c r="B10" s="15">
        <v>45504</v>
      </c>
      <c r="C10" s="16"/>
      <c r="D10" s="17"/>
      <c r="E10" s="17"/>
      <c r="F10" s="17"/>
      <c r="G10" s="20"/>
      <c r="H10" s="21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</row>
    <row r="11" spans="1:28" s="7" customFormat="1">
      <c r="A11" s="1"/>
      <c r="B11" s="15">
        <v>45535</v>
      </c>
      <c r="C11" s="16"/>
      <c r="D11" s="17"/>
      <c r="E11" s="17"/>
      <c r="F11" s="17"/>
      <c r="G11" s="20"/>
      <c r="H11" s="2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</row>
    <row r="12" spans="1:28" s="7" customFormat="1">
      <c r="A12" s="1"/>
      <c r="B12" s="15">
        <v>45565</v>
      </c>
      <c r="C12" s="16"/>
      <c r="D12" s="17"/>
      <c r="E12" s="17"/>
      <c r="F12" s="17"/>
      <c r="G12" s="20"/>
      <c r="H12" s="21"/>
      <c r="I12"/>
      <c r="J12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/>
    </row>
    <row r="13" spans="1:28" s="7" customFormat="1">
      <c r="A13" s="1"/>
      <c r="B13" s="15">
        <v>45596</v>
      </c>
      <c r="C13" s="16"/>
      <c r="D13" s="17"/>
      <c r="E13" s="17"/>
      <c r="F13" s="17"/>
      <c r="G13" s="20"/>
      <c r="H13" s="21"/>
      <c r="I13"/>
      <c r="J13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/>
      <c r="Z13"/>
      <c r="AA13"/>
      <c r="AB13"/>
    </row>
    <row r="14" spans="1:28" s="7" customFormat="1">
      <c r="A14" s="1"/>
      <c r="B14" s="15">
        <v>45626</v>
      </c>
      <c r="C14" s="16"/>
      <c r="D14" s="22"/>
      <c r="E14" s="22"/>
      <c r="F14" s="22"/>
      <c r="G14" s="20"/>
      <c r="H14" s="21"/>
      <c r="I14"/>
      <c r="J14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/>
      <c r="Z14"/>
      <c r="AA14"/>
      <c r="AB14"/>
    </row>
    <row r="15" spans="1:28" s="7" customFormat="1">
      <c r="A15" s="1"/>
      <c r="B15" s="15">
        <v>45657</v>
      </c>
      <c r="C15" s="16"/>
      <c r="D15" s="22"/>
      <c r="E15" s="22"/>
      <c r="F15" s="22"/>
      <c r="G15" s="20"/>
      <c r="H15" s="21"/>
      <c r="I15"/>
      <c r="J15"/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/>
      <c r="Z15"/>
      <c r="AA15"/>
      <c r="AB15"/>
    </row>
    <row r="16" spans="1:28" s="7" customFormat="1">
      <c r="A16" s="1"/>
      <c r="B16" s="15"/>
      <c r="C16" s="16"/>
      <c r="D16" s="17"/>
      <c r="E16" s="17"/>
      <c r="F16" s="17"/>
      <c r="G16" s="20"/>
      <c r="H16" s="21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</row>
    <row r="17" spans="1:28" s="7" customFormat="1">
      <c r="A17" s="1"/>
      <c r="B17" s="10"/>
      <c r="C17" s="11"/>
      <c r="D17" s="12"/>
      <c r="E17" s="12"/>
      <c r="F17" s="12"/>
      <c r="G17" s="13"/>
      <c r="H17" s="14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</row>
    <row r="18" spans="1:28" s="7" customFormat="1">
      <c r="B18" s="23" t="s">
        <v>9</v>
      </c>
      <c r="C18" s="24"/>
      <c r="D18" s="24"/>
      <c r="E18" s="24"/>
      <c r="F18" s="24"/>
      <c r="G18" s="24"/>
      <c r="H18" s="24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</row>
    <row r="19" spans="1:28" s="7" customFormat="1">
      <c r="B19" s="25" t="s">
        <v>5</v>
      </c>
      <c r="C19" s="25" t="s">
        <v>10</v>
      </c>
      <c r="D19" s="25" t="s">
        <v>11</v>
      </c>
      <c r="E19" s="25" t="s">
        <v>12</v>
      </c>
      <c r="F19" s="25" t="s">
        <v>13</v>
      </c>
      <c r="G19" s="25" t="s">
        <v>14</v>
      </c>
      <c r="H19" s="25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</row>
    <row r="20" spans="1:28" s="7" customFormat="1">
      <c r="B20" s="26">
        <v>121842</v>
      </c>
      <c r="C20" s="24"/>
      <c r="D20" s="24"/>
      <c r="E20" s="24"/>
      <c r="F20" s="24"/>
      <c r="G20" s="24"/>
      <c r="H20" s="24">
        <v>-105.53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</row>
    <row r="21" spans="1:28" s="7" customFormat="1">
      <c r="B21" s="26">
        <v>121955</v>
      </c>
      <c r="C21" s="24">
        <f t="shared" ref="C21:C32" si="2">B21-B20</f>
        <v>113</v>
      </c>
      <c r="D21" s="24">
        <f t="shared" ref="D21:D27" si="3">C21*F3</f>
        <v>418.25051229508193</v>
      </c>
      <c r="E21" s="24"/>
      <c r="F21" s="24"/>
      <c r="G21" s="12">
        <v>1299.72</v>
      </c>
      <c r="H21" s="24">
        <f t="shared" ref="H21:H32" si="4">D21-G21</f>
        <v>-881.46948770491804</v>
      </c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</row>
    <row r="22" spans="1:28" s="7" customFormat="1">
      <c r="B22" s="26">
        <v>122210</v>
      </c>
      <c r="C22" s="24">
        <f t="shared" si="2"/>
        <v>255</v>
      </c>
      <c r="D22" s="24">
        <f t="shared" si="3"/>
        <v>900.35814009955448</v>
      </c>
      <c r="E22" s="24"/>
      <c r="F22" s="24"/>
      <c r="G22" s="12">
        <v>999.4</v>
      </c>
      <c r="H22" s="24">
        <f t="shared" si="4"/>
        <v>-99.041859900445502</v>
      </c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</row>
    <row r="23" spans="1:28" s="7" customFormat="1">
      <c r="B23" s="26">
        <v>122430</v>
      </c>
      <c r="C23" s="24">
        <f t="shared" si="2"/>
        <v>220</v>
      </c>
      <c r="D23" s="24">
        <f t="shared" si="3"/>
        <v>841.45858105429681</v>
      </c>
      <c r="E23" s="24"/>
      <c r="F23" s="24"/>
      <c r="G23" s="12">
        <v>967.68</v>
      </c>
      <c r="H23" s="24">
        <f t="shared" si="4"/>
        <v>-126.22141894570314</v>
      </c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</row>
    <row r="24" spans="1:28" s="7" customFormat="1">
      <c r="B24" s="26">
        <v>122624</v>
      </c>
      <c r="C24" s="24">
        <f t="shared" si="2"/>
        <v>194</v>
      </c>
      <c r="D24" s="24">
        <f t="shared" si="3"/>
        <v>686.70156228065446</v>
      </c>
      <c r="E24" s="24"/>
      <c r="F24" s="24"/>
      <c r="G24" s="12">
        <v>874.44</v>
      </c>
      <c r="H24" s="24">
        <f t="shared" si="4"/>
        <v>-187.7384377193456</v>
      </c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</row>
    <row r="25" spans="1:28" s="7" customFormat="1">
      <c r="B25" s="26">
        <v>122772</v>
      </c>
      <c r="C25" s="24">
        <f t="shared" si="2"/>
        <v>148</v>
      </c>
      <c r="D25" s="27">
        <f t="shared" si="3"/>
        <v>512.43393733483765</v>
      </c>
      <c r="E25" s="27"/>
      <c r="F25" s="27"/>
      <c r="G25" s="12">
        <v>712.43</v>
      </c>
      <c r="H25" s="24">
        <f t="shared" si="4"/>
        <v>-199.9960626651623</v>
      </c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</row>
    <row r="26" spans="1:28" s="7" customFormat="1">
      <c r="B26" s="26">
        <v>122897</v>
      </c>
      <c r="C26" s="24">
        <f t="shared" si="2"/>
        <v>125</v>
      </c>
      <c r="D26" s="24">
        <f t="shared" si="3"/>
        <v>468.64867055771845</v>
      </c>
      <c r="E26" s="24"/>
      <c r="F26" s="24"/>
      <c r="G26" s="169">
        <v>468.65</v>
      </c>
      <c r="H26" s="24">
        <f t="shared" si="4"/>
        <v>-1.3294422815306461E-3</v>
      </c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</row>
    <row r="27" spans="1:28" s="7" customFormat="1">
      <c r="B27" s="26">
        <v>123003</v>
      </c>
      <c r="C27" s="24">
        <f t="shared" si="2"/>
        <v>106</v>
      </c>
      <c r="D27" s="24">
        <f t="shared" si="3"/>
        <v>367.10142579390646</v>
      </c>
      <c r="E27" s="24"/>
      <c r="F27" s="24"/>
      <c r="G27" s="169">
        <v>367.1</v>
      </c>
      <c r="H27" s="24">
        <f t="shared" si="4"/>
        <v>1.4257939064350467E-3</v>
      </c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</row>
    <row r="28" spans="1:28" s="7" customFormat="1">
      <c r="B28" s="26"/>
      <c r="C28" s="24">
        <f t="shared" si="2"/>
        <v>-123003</v>
      </c>
      <c r="D28" s="24">
        <f>C28*H18</f>
        <v>0</v>
      </c>
      <c r="E28" s="24"/>
      <c r="F28" s="24"/>
      <c r="G28" s="28"/>
      <c r="H28" s="24">
        <f t="shared" si="4"/>
        <v>0</v>
      </c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</row>
    <row r="29" spans="1:28" s="7" customFormat="1">
      <c r="B29" s="26"/>
      <c r="C29" s="24">
        <f t="shared" si="2"/>
        <v>0</v>
      </c>
      <c r="D29" s="24">
        <f>C29*H19</f>
        <v>0</v>
      </c>
      <c r="E29" s="24"/>
      <c r="F29" s="24"/>
      <c r="G29" s="28"/>
      <c r="H29" s="24">
        <f t="shared" si="4"/>
        <v>0</v>
      </c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</row>
    <row r="30" spans="1:28">
      <c r="B30" s="26"/>
      <c r="C30" s="24">
        <f t="shared" si="2"/>
        <v>0</v>
      </c>
      <c r="D30" s="24">
        <f>C30*H20</f>
        <v>0</v>
      </c>
      <c r="E30" s="24"/>
      <c r="F30" s="24"/>
      <c r="G30" s="28"/>
      <c r="H30" s="24">
        <f t="shared" si="4"/>
        <v>0</v>
      </c>
    </row>
    <row r="31" spans="1:28">
      <c r="B31" s="26"/>
      <c r="C31" s="24">
        <f t="shared" si="2"/>
        <v>0</v>
      </c>
      <c r="D31" s="24">
        <f>C31*H21</f>
        <v>0</v>
      </c>
      <c r="E31" s="24"/>
      <c r="F31" s="24"/>
      <c r="G31" s="28"/>
      <c r="H31" s="24">
        <f t="shared" si="4"/>
        <v>0</v>
      </c>
    </row>
    <row r="32" spans="1:28">
      <c r="B32" s="26"/>
      <c r="C32" s="24">
        <f t="shared" si="2"/>
        <v>0</v>
      </c>
      <c r="D32" s="24">
        <f>C32*H22</f>
        <v>0</v>
      </c>
      <c r="E32" s="24"/>
      <c r="F32" s="24"/>
      <c r="G32" s="28"/>
      <c r="H32" s="24">
        <f t="shared" si="4"/>
        <v>0</v>
      </c>
    </row>
    <row r="33" spans="2:8">
      <c r="C33" s="29" t="s">
        <v>15</v>
      </c>
      <c r="D33" s="7">
        <f>MAX(D21:D32)</f>
        <v>900.35814009955448</v>
      </c>
      <c r="G33" s="30">
        <f>D33*2</f>
        <v>1800.716280199109</v>
      </c>
      <c r="H33" s="7">
        <f>SUM(H20:H32)</f>
        <v>-1599.9971705839498</v>
      </c>
    </row>
    <row r="34" spans="2:8">
      <c r="B34" s="31"/>
      <c r="C34" s="31"/>
      <c r="D34" s="24"/>
      <c r="E34" s="24"/>
      <c r="F34" s="24"/>
      <c r="G34" s="32"/>
      <c r="H34" s="33"/>
    </row>
    <row r="35" spans="2:8">
      <c r="B35" s="12"/>
      <c r="C35" s="12"/>
      <c r="D35" s="12"/>
      <c r="E35" s="12"/>
      <c r="F35" s="12"/>
      <c r="G35" s="12"/>
      <c r="H35" s="12"/>
    </row>
    <row r="36" spans="2:8">
      <c r="B36" s="34" t="s">
        <v>16</v>
      </c>
      <c r="C36" s="34"/>
      <c r="D36" s="34"/>
      <c r="E36" s="34"/>
      <c r="F36" s="34"/>
      <c r="G36" s="34"/>
      <c r="H36" s="34"/>
    </row>
    <row r="37" spans="2:8">
      <c r="B37" s="35" t="s">
        <v>5</v>
      </c>
      <c r="C37" s="35" t="s">
        <v>10</v>
      </c>
      <c r="D37" s="35" t="s">
        <v>11</v>
      </c>
      <c r="E37" s="35"/>
      <c r="F37" s="35"/>
      <c r="G37" s="36" t="s">
        <v>14</v>
      </c>
      <c r="H37" s="36"/>
    </row>
    <row r="38" spans="2:8">
      <c r="B38" s="26">
        <v>4737</v>
      </c>
      <c r="C38" s="34"/>
      <c r="D38" s="34"/>
      <c r="E38" s="34"/>
      <c r="F38" s="34"/>
      <c r="G38" s="34"/>
      <c r="H38" s="34">
        <v>-3924.11</v>
      </c>
    </row>
    <row r="39" spans="2:8">
      <c r="B39" s="26">
        <v>5070</v>
      </c>
      <c r="C39" s="34">
        <f t="shared" ref="C39:C50" si="5">B39-B38</f>
        <v>333</v>
      </c>
      <c r="D39" s="34">
        <f t="shared" ref="D39:D45" si="6">C39*$F3</f>
        <v>1232.5435450819671</v>
      </c>
      <c r="E39" s="34"/>
      <c r="F39" s="34"/>
      <c r="G39" s="12">
        <v>1232.42</v>
      </c>
      <c r="H39" s="34">
        <f t="shared" ref="H39:H50" si="7">D39-G39</f>
        <v>0.12354508196699499</v>
      </c>
    </row>
    <row r="40" spans="2:8">
      <c r="B40" s="26">
        <v>5318</v>
      </c>
      <c r="C40" s="34">
        <f t="shared" si="5"/>
        <v>248</v>
      </c>
      <c r="D40" s="34">
        <f t="shared" si="6"/>
        <v>875.64242644976275</v>
      </c>
      <c r="E40" s="34"/>
      <c r="F40" s="34"/>
      <c r="G40" s="12">
        <v>875.64</v>
      </c>
      <c r="H40" s="34">
        <f t="shared" si="7"/>
        <v>2.4264497627655146E-3</v>
      </c>
    </row>
    <row r="41" spans="2:8">
      <c r="B41" s="26">
        <v>5589</v>
      </c>
      <c r="C41" s="34">
        <f t="shared" si="5"/>
        <v>271</v>
      </c>
      <c r="D41" s="34">
        <f t="shared" si="6"/>
        <v>1036.523979389611</v>
      </c>
      <c r="E41" s="34"/>
      <c r="F41" s="34"/>
      <c r="G41" s="12">
        <v>1192</v>
      </c>
      <c r="H41" s="34">
        <f t="shared" si="7"/>
        <v>-155.47602061038901</v>
      </c>
    </row>
    <row r="42" spans="2:8">
      <c r="B42" s="26">
        <v>5775</v>
      </c>
      <c r="C42" s="34">
        <f t="shared" si="5"/>
        <v>186</v>
      </c>
      <c r="D42" s="34">
        <f t="shared" si="6"/>
        <v>658.3839720835141</v>
      </c>
      <c r="E42" s="34"/>
      <c r="F42" s="34"/>
      <c r="G42" s="12">
        <v>1078.92</v>
      </c>
      <c r="H42" s="34">
        <f t="shared" si="7"/>
        <v>-420.53602791648598</v>
      </c>
    </row>
    <row r="43" spans="2:8">
      <c r="B43" s="26">
        <v>6065</v>
      </c>
      <c r="C43" s="34">
        <f t="shared" si="5"/>
        <v>290</v>
      </c>
      <c r="D43" s="34">
        <f t="shared" si="6"/>
        <v>1004.0935258588036</v>
      </c>
      <c r="E43" s="34"/>
      <c r="F43" s="34"/>
      <c r="G43" s="12">
        <v>1204.92</v>
      </c>
      <c r="H43" s="34">
        <f t="shared" si="7"/>
        <v>-200.82647414119651</v>
      </c>
    </row>
    <row r="44" spans="2:8">
      <c r="B44" s="26">
        <v>6310</v>
      </c>
      <c r="C44" s="34">
        <f t="shared" si="5"/>
        <v>245</v>
      </c>
      <c r="D44" s="34">
        <f t="shared" si="6"/>
        <v>918.55139429312817</v>
      </c>
      <c r="E44" s="34"/>
      <c r="F44" s="34"/>
      <c r="G44" s="12">
        <v>1217.73</v>
      </c>
      <c r="H44" s="34">
        <f t="shared" si="7"/>
        <v>-299.17860570687185</v>
      </c>
    </row>
    <row r="45" spans="2:8">
      <c r="B45" s="26">
        <v>6500</v>
      </c>
      <c r="C45" s="34">
        <f t="shared" si="5"/>
        <v>190</v>
      </c>
      <c r="D45" s="34">
        <f t="shared" si="6"/>
        <v>658.0119896305871</v>
      </c>
      <c r="E45" s="34"/>
      <c r="F45" s="34"/>
      <c r="G45" s="169">
        <v>658.01</v>
      </c>
      <c r="H45" s="34">
        <f t="shared" si="7"/>
        <v>1.9896305871043296E-3</v>
      </c>
    </row>
    <row r="46" spans="2:8">
      <c r="B46" s="26"/>
      <c r="C46" s="34">
        <f t="shared" si="5"/>
        <v>-6500</v>
      </c>
      <c r="D46" s="34">
        <f>C46*$H17</f>
        <v>0</v>
      </c>
      <c r="E46" s="34"/>
      <c r="F46" s="34"/>
      <c r="G46" s="28"/>
      <c r="H46" s="34">
        <f t="shared" si="7"/>
        <v>0</v>
      </c>
    </row>
    <row r="47" spans="2:8">
      <c r="B47" s="26"/>
      <c r="C47" s="34">
        <f t="shared" si="5"/>
        <v>0</v>
      </c>
      <c r="D47" s="34">
        <f>C47*$H18</f>
        <v>0</v>
      </c>
      <c r="E47" s="34"/>
      <c r="F47" s="34"/>
      <c r="G47" s="28"/>
      <c r="H47" s="34">
        <f t="shared" si="7"/>
        <v>0</v>
      </c>
    </row>
    <row r="48" spans="2:8">
      <c r="B48" s="26"/>
      <c r="C48" s="34">
        <f t="shared" si="5"/>
        <v>0</v>
      </c>
      <c r="D48" s="34">
        <f>C48*$H19</f>
        <v>0</v>
      </c>
      <c r="E48" s="34"/>
      <c r="F48" s="34"/>
      <c r="G48" s="28"/>
      <c r="H48" s="34">
        <f t="shared" si="7"/>
        <v>0</v>
      </c>
    </row>
    <row r="49" spans="2:8">
      <c r="B49" s="26"/>
      <c r="C49" s="34">
        <f t="shared" si="5"/>
        <v>0</v>
      </c>
      <c r="D49" s="34">
        <f>C49*$H20</f>
        <v>0</v>
      </c>
      <c r="E49" s="34"/>
      <c r="F49" s="34"/>
      <c r="G49" s="28"/>
      <c r="H49" s="34">
        <f t="shared" si="7"/>
        <v>0</v>
      </c>
    </row>
    <row r="50" spans="2:8">
      <c r="B50" s="26"/>
      <c r="C50" s="34">
        <f t="shared" si="5"/>
        <v>0</v>
      </c>
      <c r="D50" s="34">
        <f>C50*$H21</f>
        <v>0</v>
      </c>
      <c r="E50" s="34"/>
      <c r="F50" s="34"/>
      <c r="G50" s="28"/>
      <c r="H50" s="34">
        <f t="shared" si="7"/>
        <v>0</v>
      </c>
    </row>
    <row r="51" spans="2:8">
      <c r="C51" s="29" t="s">
        <v>15</v>
      </c>
      <c r="D51" s="7">
        <f>MAX(D39:D50)</f>
        <v>1232.5435450819671</v>
      </c>
      <c r="G51" s="30">
        <f>D51*2</f>
        <v>2465.0870901639341</v>
      </c>
      <c r="H51" s="7">
        <f>SUM(H38:H50)</f>
        <v>-4999.9991672126271</v>
      </c>
    </row>
    <row r="52" spans="2:8">
      <c r="B52" s="24"/>
      <c r="C52" s="31"/>
      <c r="D52" s="24"/>
      <c r="E52" s="24"/>
      <c r="F52" s="24"/>
      <c r="G52" s="33"/>
      <c r="H52" s="24"/>
    </row>
    <row r="53" spans="2:8">
      <c r="B53" s="10"/>
      <c r="C53" s="11"/>
      <c r="D53" s="11"/>
      <c r="E53" s="11"/>
      <c r="F53" s="11"/>
      <c r="G53" s="13"/>
      <c r="H53" s="14"/>
    </row>
    <row r="54" spans="2:8">
      <c r="B54" s="17" t="s">
        <v>17</v>
      </c>
      <c r="C54" s="17"/>
      <c r="D54" s="17"/>
      <c r="E54" s="17"/>
      <c r="F54" s="17"/>
      <c r="G54" s="17"/>
      <c r="H54" s="17"/>
    </row>
    <row r="55" spans="2:8">
      <c r="B55" s="37" t="s">
        <v>5</v>
      </c>
      <c r="C55" s="37" t="s">
        <v>10</v>
      </c>
      <c r="D55" s="37" t="s">
        <v>11</v>
      </c>
      <c r="E55" s="37"/>
      <c r="F55" s="37"/>
      <c r="G55" s="37" t="s">
        <v>14</v>
      </c>
      <c r="H55" s="9"/>
    </row>
    <row r="56" spans="2:8">
      <c r="B56" s="38">
        <v>1087</v>
      </c>
      <c r="C56" s="17"/>
      <c r="D56" s="17"/>
      <c r="E56" s="17"/>
      <c r="F56" s="17"/>
      <c r="G56" s="17"/>
      <c r="H56" s="17"/>
    </row>
    <row r="57" spans="2:8">
      <c r="B57" s="26">
        <v>1165</v>
      </c>
      <c r="C57" s="17">
        <f t="shared" ref="C57:C68" si="8">B57-B56</f>
        <v>78</v>
      </c>
      <c r="D57" s="17">
        <f t="shared" ref="D57:D63" si="9">C57*$F3</f>
        <v>288.70389344262293</v>
      </c>
      <c r="E57" s="17"/>
      <c r="F57" s="17"/>
      <c r="G57" s="12">
        <v>288.67</v>
      </c>
      <c r="H57" s="17">
        <v>0</v>
      </c>
    </row>
    <row r="58" spans="2:8">
      <c r="B58" s="26">
        <v>1273</v>
      </c>
      <c r="C58" s="17">
        <f t="shared" si="8"/>
        <v>108</v>
      </c>
      <c r="D58" s="17">
        <f t="shared" si="9"/>
        <v>381.32815345392896</v>
      </c>
      <c r="E58" s="17"/>
      <c r="F58" s="17"/>
      <c r="G58" s="12">
        <v>431.36</v>
      </c>
      <c r="H58" s="17">
        <v>0</v>
      </c>
    </row>
    <row r="59" spans="2:8">
      <c r="B59" s="26">
        <v>1335</v>
      </c>
      <c r="C59" s="17">
        <f t="shared" si="8"/>
        <v>62</v>
      </c>
      <c r="D59" s="17">
        <f t="shared" si="9"/>
        <v>237.1383273880291</v>
      </c>
      <c r="E59" s="17"/>
      <c r="F59" s="17" t="s">
        <v>18</v>
      </c>
      <c r="G59" s="12">
        <v>237.14</v>
      </c>
      <c r="H59" s="17">
        <f t="shared" ref="H59:H68" si="10">D59-G59</f>
        <v>-1.6726119708891929E-3</v>
      </c>
    </row>
    <row r="60" spans="2:8">
      <c r="B60" s="26">
        <v>1384</v>
      </c>
      <c r="C60" s="17">
        <f t="shared" si="8"/>
        <v>49</v>
      </c>
      <c r="D60" s="17">
        <f t="shared" si="9"/>
        <v>173.44523995748489</v>
      </c>
      <c r="E60" s="17"/>
      <c r="F60" s="17">
        <v>-850</v>
      </c>
      <c r="G60" s="12">
        <v>173.45</v>
      </c>
      <c r="H60" s="17">
        <f t="shared" si="10"/>
        <v>-4.7600425151017589E-3</v>
      </c>
    </row>
    <row r="61" spans="2:8">
      <c r="B61" s="26">
        <v>1400</v>
      </c>
      <c r="C61" s="17">
        <f t="shared" si="8"/>
        <v>16</v>
      </c>
      <c r="D61" s="17">
        <f t="shared" si="9"/>
        <v>55.398263495658128</v>
      </c>
      <c r="E61" s="17"/>
      <c r="F61" s="17" t="s">
        <v>19</v>
      </c>
      <c r="G61" s="12">
        <v>55.4</v>
      </c>
      <c r="H61" s="17">
        <f t="shared" si="10"/>
        <v>-1.7365043418706705E-3</v>
      </c>
    </row>
    <row r="62" spans="2:8">
      <c r="B62" s="26">
        <v>1592</v>
      </c>
      <c r="C62" s="17">
        <f t="shared" si="8"/>
        <v>192</v>
      </c>
      <c r="D62" s="17">
        <f t="shared" si="9"/>
        <v>719.8443579766556</v>
      </c>
      <c r="E62" s="17"/>
      <c r="F62" s="17" t="s">
        <v>20</v>
      </c>
      <c r="G62" s="169">
        <v>919.84</v>
      </c>
      <c r="H62" s="17">
        <f t="shared" si="10"/>
        <v>-199.99564202334443</v>
      </c>
    </row>
    <row r="63" spans="2:8">
      <c r="B63" s="26">
        <v>1650</v>
      </c>
      <c r="C63" s="17">
        <f t="shared" si="8"/>
        <v>58</v>
      </c>
      <c r="D63" s="17">
        <f t="shared" si="9"/>
        <v>200.86681788723183</v>
      </c>
      <c r="E63" s="17"/>
      <c r="F63" s="17"/>
      <c r="G63" s="28">
        <v>200.87</v>
      </c>
      <c r="H63" s="17">
        <f t="shared" si="10"/>
        <v>-3.1821127681723738E-3</v>
      </c>
    </row>
    <row r="64" spans="2:8">
      <c r="B64" s="26"/>
      <c r="C64" s="17">
        <f t="shared" si="8"/>
        <v>-1650</v>
      </c>
      <c r="D64" s="17">
        <f>C64*$H17</f>
        <v>0</v>
      </c>
      <c r="E64" s="17"/>
      <c r="F64" s="17"/>
      <c r="G64" s="28"/>
      <c r="H64" s="17">
        <f t="shared" si="10"/>
        <v>0</v>
      </c>
    </row>
    <row r="65" spans="2:8">
      <c r="B65" s="26"/>
      <c r="C65" s="17">
        <f t="shared" si="8"/>
        <v>0</v>
      </c>
      <c r="D65" s="17">
        <f>C65*$H18</f>
        <v>0</v>
      </c>
      <c r="E65" s="17"/>
      <c r="F65" s="17"/>
      <c r="G65" s="28"/>
      <c r="H65" s="17">
        <f t="shared" si="10"/>
        <v>0</v>
      </c>
    </row>
    <row r="66" spans="2:8">
      <c r="B66" s="26"/>
      <c r="C66" s="17">
        <f t="shared" si="8"/>
        <v>0</v>
      </c>
      <c r="D66" s="17">
        <f>C66*$H19</f>
        <v>0</v>
      </c>
      <c r="E66" s="17"/>
      <c r="F66" s="17"/>
      <c r="G66" s="28"/>
      <c r="H66" s="17">
        <f t="shared" si="10"/>
        <v>0</v>
      </c>
    </row>
    <row r="67" spans="2:8">
      <c r="B67" s="26"/>
      <c r="C67" s="17">
        <f t="shared" si="8"/>
        <v>0</v>
      </c>
      <c r="D67" s="17">
        <f>C67*$H20</f>
        <v>0</v>
      </c>
      <c r="E67" s="17"/>
      <c r="F67" s="17"/>
      <c r="G67" s="28"/>
      <c r="H67" s="17">
        <f t="shared" si="10"/>
        <v>0</v>
      </c>
    </row>
    <row r="68" spans="2:8">
      <c r="B68" s="26"/>
      <c r="C68" s="17">
        <f t="shared" si="8"/>
        <v>0</v>
      </c>
      <c r="D68" s="17">
        <f>C68*$H21</f>
        <v>0</v>
      </c>
      <c r="E68" s="17"/>
      <c r="F68" s="17"/>
      <c r="G68" s="28"/>
      <c r="H68" s="17">
        <f t="shared" si="10"/>
        <v>0</v>
      </c>
    </row>
    <row r="69" spans="2:8">
      <c r="C69" s="29" t="s">
        <v>15</v>
      </c>
      <c r="D69" s="7">
        <f>MAX(D57:D68)</f>
        <v>719.8443579766556</v>
      </c>
      <c r="G69" s="30">
        <f>D69*2</f>
        <v>1439.6887159533112</v>
      </c>
      <c r="H69" s="7">
        <f>SUM(H56:H68)</f>
        <v>-200.00699329494046</v>
      </c>
    </row>
    <row r="70" spans="2:8">
      <c r="B70" s="31"/>
      <c r="C70" s="31"/>
      <c r="D70" s="24"/>
      <c r="E70" s="24"/>
      <c r="F70" s="24"/>
      <c r="G70" s="33"/>
      <c r="H70" s="33"/>
    </row>
    <row r="71" spans="2:8">
      <c r="B71" s="10"/>
      <c r="C71" s="11"/>
      <c r="D71" s="11"/>
      <c r="E71" s="11"/>
      <c r="F71" s="11"/>
      <c r="G71" s="13"/>
      <c r="H71" s="14"/>
    </row>
    <row r="72" spans="2:8">
      <c r="B72" s="39" t="s">
        <v>21</v>
      </c>
      <c r="C72" s="40"/>
      <c r="D72" s="40"/>
      <c r="E72" s="40"/>
      <c r="F72" s="40"/>
      <c r="G72" s="40"/>
      <c r="H72" s="40"/>
    </row>
    <row r="73" spans="2:8">
      <c r="B73" s="41" t="s">
        <v>5</v>
      </c>
      <c r="C73" s="41" t="s">
        <v>10</v>
      </c>
      <c r="D73" s="41" t="s">
        <v>11</v>
      </c>
      <c r="E73" s="41"/>
      <c r="F73" s="41"/>
      <c r="G73" s="41" t="s">
        <v>14</v>
      </c>
      <c r="H73" s="42"/>
    </row>
    <row r="74" spans="2:8">
      <c r="B74" s="43"/>
      <c r="C74" s="39"/>
      <c r="D74" s="39"/>
      <c r="E74" s="39"/>
      <c r="F74" s="39"/>
      <c r="G74" s="39"/>
      <c r="H74" s="39">
        <v>-3125</v>
      </c>
    </row>
    <row r="75" spans="2:8">
      <c r="B75" s="43"/>
      <c r="C75" s="39">
        <f t="shared" ref="C75:C86" si="11">D3-C21-C39-C57-C93-C111</f>
        <v>483.20000000000005</v>
      </c>
      <c r="D75" s="39">
        <f t="shared" ref="D75:D81" si="12">C75*$F3</f>
        <v>1788.4836065573772</v>
      </c>
      <c r="E75" s="39"/>
      <c r="F75" s="39"/>
      <c r="G75" s="12">
        <v>1174.3800000000001</v>
      </c>
      <c r="H75" s="39">
        <f t="shared" ref="H75:H85" si="13">D75-G75</f>
        <v>614.10360655737713</v>
      </c>
    </row>
    <row r="76" spans="2:8">
      <c r="B76" s="43"/>
      <c r="C76" s="39">
        <f t="shared" si="11"/>
        <v>221.43999999999596</v>
      </c>
      <c r="D76" s="39">
        <f t="shared" si="12"/>
        <v>781.86394722996749</v>
      </c>
      <c r="E76" s="39"/>
      <c r="F76" s="39"/>
      <c r="G76" s="12">
        <v>891.32</v>
      </c>
      <c r="H76" s="39">
        <f t="shared" si="13"/>
        <v>-109.45605277003256</v>
      </c>
    </row>
    <row r="77" spans="2:8">
      <c r="B77" s="43"/>
      <c r="C77" s="39">
        <f t="shared" si="11"/>
        <v>534.50000000000546</v>
      </c>
      <c r="D77" s="39">
        <f t="shared" si="12"/>
        <v>2044.3618707887556</v>
      </c>
      <c r="E77" s="39"/>
      <c r="F77" s="39"/>
      <c r="G77" s="12">
        <v>2248.8000000000002</v>
      </c>
      <c r="H77" s="39">
        <f t="shared" si="13"/>
        <v>-204.43812921124459</v>
      </c>
    </row>
    <row r="78" spans="2:8">
      <c r="B78" s="43"/>
      <c r="C78" s="39">
        <f t="shared" si="11"/>
        <v>423.25999999999203</v>
      </c>
      <c r="D78" s="39">
        <f t="shared" si="12"/>
        <v>1498.2129033551771</v>
      </c>
      <c r="E78" s="39"/>
      <c r="F78" s="39"/>
      <c r="G78" s="12">
        <v>1774</v>
      </c>
      <c r="H78" s="39">
        <f t="shared" si="13"/>
        <v>-275.7870966448229</v>
      </c>
    </row>
    <row r="79" spans="2:8">
      <c r="B79" s="43"/>
      <c r="C79" s="39">
        <f t="shared" si="11"/>
        <v>276.68000000000939</v>
      </c>
      <c r="D79" s="39">
        <f t="shared" si="12"/>
        <v>957.97447149870072</v>
      </c>
      <c r="E79" s="39"/>
      <c r="F79" s="39"/>
      <c r="G79" s="168">
        <v>1257.4000000000001</v>
      </c>
      <c r="H79" s="39">
        <f t="shared" si="13"/>
        <v>-299.42552850129937</v>
      </c>
    </row>
    <row r="80" spans="2:8">
      <c r="B80" s="43"/>
      <c r="C80" s="39">
        <f>D8-C26-C44-C62-C98-C116</f>
        <v>575.59999999999673</v>
      </c>
      <c r="D80" s="39">
        <f t="shared" si="12"/>
        <v>2158.0333981841695</v>
      </c>
      <c r="E80" s="39"/>
      <c r="F80" s="39"/>
      <c r="G80" s="168">
        <v>2158.0300000000002</v>
      </c>
      <c r="H80" s="39">
        <f t="shared" si="13"/>
        <v>3.3981841693275783E-3</v>
      </c>
    </row>
    <row r="81" spans="2:8">
      <c r="B81" s="43"/>
      <c r="C81" s="39">
        <f t="shared" si="11"/>
        <v>277.64000000000306</v>
      </c>
      <c r="D81" s="39">
        <f t="shared" si="12"/>
        <v>961.52867790020105</v>
      </c>
      <c r="E81" s="39"/>
      <c r="F81" s="39"/>
      <c r="G81" s="44">
        <v>961.53</v>
      </c>
      <c r="H81" s="39">
        <f t="shared" si="13"/>
        <v>-1.3220997989265015E-3</v>
      </c>
    </row>
    <row r="82" spans="2:8">
      <c r="B82" s="43"/>
      <c r="C82" s="39">
        <f t="shared" si="11"/>
        <v>144910</v>
      </c>
      <c r="D82" s="39">
        <f>C82*$H18</f>
        <v>0</v>
      </c>
      <c r="E82" s="39"/>
      <c r="F82" s="39"/>
      <c r="G82" s="44"/>
      <c r="H82" s="39">
        <f t="shared" si="13"/>
        <v>0</v>
      </c>
    </row>
    <row r="83" spans="2:8">
      <c r="B83" s="43"/>
      <c r="C83" s="39">
        <f t="shared" si="11"/>
        <v>0</v>
      </c>
      <c r="D83" s="39">
        <f>C83*$H19</f>
        <v>0</v>
      </c>
      <c r="E83" s="39"/>
      <c r="F83" s="39"/>
      <c r="G83" s="44"/>
      <c r="H83" s="39">
        <f t="shared" si="13"/>
        <v>0</v>
      </c>
    </row>
    <row r="84" spans="2:8">
      <c r="B84" s="43"/>
      <c r="C84" s="39">
        <f t="shared" si="11"/>
        <v>0</v>
      </c>
      <c r="D84" s="39">
        <f>C84*$H20</f>
        <v>0</v>
      </c>
      <c r="E84" s="39"/>
      <c r="F84" s="39"/>
      <c r="G84" s="44"/>
      <c r="H84" s="39">
        <f t="shared" si="13"/>
        <v>0</v>
      </c>
    </row>
    <row r="85" spans="2:8">
      <c r="B85" s="43"/>
      <c r="C85" s="39">
        <f t="shared" si="11"/>
        <v>0</v>
      </c>
      <c r="D85" s="39">
        <f>C85*$H21</f>
        <v>0</v>
      </c>
      <c r="E85" s="39"/>
      <c r="F85" s="39"/>
      <c r="G85" s="44"/>
      <c r="H85" s="39">
        <f t="shared" si="13"/>
        <v>0</v>
      </c>
    </row>
    <row r="86" spans="2:8">
      <c r="B86" s="43"/>
      <c r="C86" s="39">
        <f t="shared" si="11"/>
        <v>0</v>
      </c>
      <c r="D86" s="39">
        <f>C86*$H22</f>
        <v>0</v>
      </c>
      <c r="E86" s="39"/>
      <c r="F86" s="39"/>
      <c r="G86" s="44"/>
      <c r="H86"/>
    </row>
    <row r="87" spans="2:8">
      <c r="B87" s="29"/>
      <c r="C87" s="29" t="s">
        <v>15</v>
      </c>
      <c r="D87" s="7">
        <f>MAX(D75:D86)</f>
        <v>2158.0333981841695</v>
      </c>
      <c r="G87" s="30">
        <f>D87*2</f>
        <v>4316.0667963683391</v>
      </c>
      <c r="H87" s="7">
        <f>SUM(H74:H86)</f>
        <v>-3400.0011244856519</v>
      </c>
    </row>
    <row r="88" spans="2:8">
      <c r="B88" s="24"/>
      <c r="C88" s="24"/>
      <c r="D88" s="24"/>
      <c r="E88" s="24"/>
      <c r="F88" s="24"/>
      <c r="G88" s="45"/>
      <c r="H88" s="33"/>
    </row>
    <row r="89" spans="2:8">
      <c r="B89" s="10"/>
      <c r="C89" s="11"/>
      <c r="D89" s="11"/>
      <c r="E89" s="11"/>
      <c r="F89" s="11"/>
      <c r="G89" s="13"/>
      <c r="H89" s="14"/>
    </row>
    <row r="90" spans="2:8">
      <c r="B90" s="46" t="s">
        <v>22</v>
      </c>
      <c r="C90" s="46"/>
      <c r="D90" s="46"/>
      <c r="E90" s="46"/>
      <c r="F90" s="46"/>
      <c r="G90" s="46"/>
      <c r="H90" s="46"/>
    </row>
    <row r="91" spans="2:8">
      <c r="B91" s="47" t="s">
        <v>5</v>
      </c>
      <c r="C91" s="47" t="s">
        <v>10</v>
      </c>
      <c r="D91" s="47" t="s">
        <v>11</v>
      </c>
      <c r="E91" s="47"/>
      <c r="F91" s="47"/>
      <c r="G91" s="47" t="s">
        <v>14</v>
      </c>
      <c r="H91" s="48"/>
    </row>
    <row r="92" spans="2:8">
      <c r="B92" s="26">
        <v>5428</v>
      </c>
      <c r="C92" s="43"/>
      <c r="D92" s="43"/>
      <c r="E92" s="43"/>
      <c r="F92" s="43"/>
      <c r="G92" s="43"/>
      <c r="H92" s="43">
        <v>-1200</v>
      </c>
    </row>
    <row r="93" spans="2:8">
      <c r="B93" s="26">
        <v>5549</v>
      </c>
      <c r="C93" s="43">
        <f t="shared" ref="C93:C104" si="14">B93-B92</f>
        <v>121</v>
      </c>
      <c r="D93" s="43">
        <f t="shared" ref="D93:D99" si="15">C93*$F3</f>
        <v>447.86116803278685</v>
      </c>
      <c r="E93" s="43"/>
      <c r="F93" s="43"/>
      <c r="G93" s="12">
        <v>447.82</v>
      </c>
      <c r="H93" s="43">
        <f t="shared" ref="H93:H104" si="16">D93-G93</f>
        <v>4.1168032786856656E-2</v>
      </c>
    </row>
    <row r="94" spans="2:8">
      <c r="B94" s="26">
        <v>5686</v>
      </c>
      <c r="C94" s="43">
        <f t="shared" si="14"/>
        <v>137</v>
      </c>
      <c r="D94" s="43">
        <f t="shared" si="15"/>
        <v>483.72182428878023</v>
      </c>
      <c r="E94" s="43"/>
      <c r="F94" s="43"/>
      <c r="G94" s="12">
        <v>483.72</v>
      </c>
      <c r="H94" s="43">
        <f t="shared" si="16"/>
        <v>1.8242887801989127E-3</v>
      </c>
    </row>
    <row r="95" spans="2:8">
      <c r="B95" s="26">
        <v>5801</v>
      </c>
      <c r="C95" s="43">
        <f t="shared" si="14"/>
        <v>115</v>
      </c>
      <c r="D95" s="43">
        <f t="shared" si="15"/>
        <v>439.85334918747333</v>
      </c>
      <c r="E95" s="43"/>
      <c r="F95" s="43"/>
      <c r="G95" s="12">
        <v>439.85</v>
      </c>
      <c r="H95" s="43">
        <f t="shared" si="16"/>
        <v>3.3491874733044824E-3</v>
      </c>
    </row>
    <row r="96" spans="2:8">
      <c r="B96" s="26">
        <v>5865</v>
      </c>
      <c r="C96" s="43">
        <f t="shared" si="14"/>
        <v>64</v>
      </c>
      <c r="D96" s="43">
        <f t="shared" si="15"/>
        <v>226.54072157712312</v>
      </c>
      <c r="E96" s="43"/>
      <c r="F96" s="43"/>
      <c r="G96" s="12">
        <v>326.58999999999997</v>
      </c>
      <c r="H96" s="43">
        <f t="shared" si="16"/>
        <v>-100.04927842287685</v>
      </c>
    </row>
    <row r="97" spans="2:8">
      <c r="B97" s="26">
        <v>5972</v>
      </c>
      <c r="C97" s="43">
        <f t="shared" si="14"/>
        <v>107</v>
      </c>
      <c r="D97" s="43">
        <f t="shared" si="15"/>
        <v>370.47588712721375</v>
      </c>
      <c r="E97" s="43"/>
      <c r="F97" s="43"/>
      <c r="G97" s="168">
        <v>370.48</v>
      </c>
      <c r="H97" s="43">
        <f t="shared" si="16"/>
        <v>-4.1128727862655978E-3</v>
      </c>
    </row>
    <row r="98" spans="2:8">
      <c r="B98" s="26">
        <v>6058</v>
      </c>
      <c r="C98" s="43">
        <f t="shared" si="14"/>
        <v>86</v>
      </c>
      <c r="D98" s="43">
        <f t="shared" si="15"/>
        <v>322.4302853437103</v>
      </c>
      <c r="E98" s="43"/>
      <c r="F98" s="43"/>
      <c r="G98" s="168">
        <v>322.42</v>
      </c>
      <c r="H98" s="43">
        <f t="shared" si="16"/>
        <v>1.0285343710279449E-2</v>
      </c>
    </row>
    <row r="99" spans="2:8">
      <c r="B99" s="26">
        <v>6157</v>
      </c>
      <c r="C99" s="43">
        <f t="shared" si="14"/>
        <v>99</v>
      </c>
      <c r="D99" s="43">
        <f t="shared" si="15"/>
        <v>342.85887880751642</v>
      </c>
      <c r="E99" s="43"/>
      <c r="F99" s="43"/>
      <c r="G99" s="44">
        <v>342.86</v>
      </c>
      <c r="H99" s="43">
        <f t="shared" si="16"/>
        <v>-1.1211924835947684E-3</v>
      </c>
    </row>
    <row r="100" spans="2:8">
      <c r="B100" s="26"/>
      <c r="C100" s="43">
        <f t="shared" si="14"/>
        <v>-6157</v>
      </c>
      <c r="D100" s="43">
        <f>C100*$H18</f>
        <v>0</v>
      </c>
      <c r="E100" s="43"/>
      <c r="F100" s="43"/>
      <c r="G100" s="44"/>
      <c r="H100" s="43">
        <f t="shared" si="16"/>
        <v>0</v>
      </c>
    </row>
    <row r="101" spans="2:8">
      <c r="B101" s="26"/>
      <c r="C101" s="43">
        <f t="shared" si="14"/>
        <v>0</v>
      </c>
      <c r="D101" s="43">
        <f>C101*$H19</f>
        <v>0</v>
      </c>
      <c r="E101" s="43"/>
      <c r="F101" s="43"/>
      <c r="G101" s="44"/>
      <c r="H101" s="43">
        <f t="shared" si="16"/>
        <v>0</v>
      </c>
    </row>
    <row r="102" spans="2:8">
      <c r="B102" s="26"/>
      <c r="C102" s="43">
        <f t="shared" si="14"/>
        <v>0</v>
      </c>
      <c r="D102" s="43">
        <f>C102*$H20</f>
        <v>0</v>
      </c>
      <c r="E102" s="43"/>
      <c r="F102" s="43"/>
      <c r="G102" s="44"/>
      <c r="H102" s="43">
        <f t="shared" si="16"/>
        <v>0</v>
      </c>
    </row>
    <row r="103" spans="2:8">
      <c r="B103" s="26"/>
      <c r="C103" s="43">
        <f t="shared" si="14"/>
        <v>0</v>
      </c>
      <c r="D103" s="43">
        <f>C103*$H21</f>
        <v>0</v>
      </c>
      <c r="E103" s="43"/>
      <c r="F103" s="43"/>
      <c r="G103" s="44"/>
      <c r="H103" s="43">
        <f t="shared" si="16"/>
        <v>0</v>
      </c>
    </row>
    <row r="104" spans="2:8">
      <c r="B104" s="26"/>
      <c r="C104" s="43">
        <f t="shared" si="14"/>
        <v>0</v>
      </c>
      <c r="D104" s="43">
        <f>C104*$H22</f>
        <v>0</v>
      </c>
      <c r="E104" s="43"/>
      <c r="F104" s="43"/>
      <c r="G104" s="44"/>
      <c r="H104" s="43">
        <f t="shared" si="16"/>
        <v>0</v>
      </c>
    </row>
    <row r="105" spans="2:8">
      <c r="B105" s="29"/>
      <c r="C105" s="29" t="s">
        <v>15</v>
      </c>
      <c r="D105" s="7">
        <f>MAX(D93:D104)</f>
        <v>483.72182428878023</v>
      </c>
      <c r="G105" s="30">
        <f>D105*2</f>
        <v>967.44364857756045</v>
      </c>
      <c r="H105" s="7">
        <f>SUM(H92:H104)</f>
        <v>-1299.9978856353962</v>
      </c>
    </row>
    <row r="106" spans="2:8">
      <c r="B106" s="24"/>
      <c r="C106" s="24"/>
      <c r="D106" s="24"/>
      <c r="E106" s="24"/>
      <c r="F106" s="24"/>
      <c r="G106" s="45"/>
      <c r="H106" s="33"/>
    </row>
    <row r="107" spans="2:8">
      <c r="B107" s="10"/>
      <c r="C107" s="11"/>
      <c r="D107" s="11"/>
      <c r="E107" s="11"/>
      <c r="F107" s="11"/>
      <c r="G107" s="13"/>
      <c r="H107" s="14"/>
    </row>
    <row r="108" spans="2:8">
      <c r="B108" s="49" t="s">
        <v>23</v>
      </c>
      <c r="C108" s="49"/>
      <c r="D108" s="49"/>
      <c r="E108" s="49"/>
      <c r="F108" s="49"/>
      <c r="G108" s="49"/>
      <c r="H108" s="49"/>
    </row>
    <row r="109" spans="2:8">
      <c r="B109" s="50" t="s">
        <v>5</v>
      </c>
      <c r="C109" s="50" t="s">
        <v>10</v>
      </c>
      <c r="D109" s="50" t="s">
        <v>11</v>
      </c>
      <c r="E109" s="50"/>
      <c r="F109" s="50"/>
      <c r="G109" s="50" t="s">
        <v>14</v>
      </c>
      <c r="H109" s="51"/>
    </row>
    <row r="110" spans="2:8">
      <c r="B110" s="26">
        <v>7368</v>
      </c>
      <c r="C110" s="52"/>
      <c r="D110" s="52"/>
      <c r="E110" s="52"/>
      <c r="F110" s="52"/>
      <c r="G110" s="52"/>
      <c r="H110" s="52"/>
    </row>
    <row r="111" spans="2:8">
      <c r="B111" s="26">
        <v>7411</v>
      </c>
      <c r="C111" s="52">
        <f t="shared" ref="C111:C122" si="17">B111-B110</f>
        <v>43</v>
      </c>
      <c r="D111" s="52">
        <f t="shared" ref="D111:D117" si="18">C111*$F3</f>
        <v>159.15727459016392</v>
      </c>
      <c r="E111" s="52"/>
      <c r="F111" s="52"/>
      <c r="G111" s="12">
        <f>D111</f>
        <v>159.15727459016392</v>
      </c>
      <c r="H111" s="52">
        <f t="shared" ref="H111:H122" si="19">D111-G111</f>
        <v>0</v>
      </c>
    </row>
    <row r="112" spans="2:8">
      <c r="B112" s="26">
        <v>7430</v>
      </c>
      <c r="C112" s="52">
        <f t="shared" si="17"/>
        <v>19</v>
      </c>
      <c r="D112" s="52">
        <f t="shared" si="18"/>
        <v>67.08550847800602</v>
      </c>
      <c r="E112" s="52"/>
      <c r="F112" s="52"/>
      <c r="G112" s="12">
        <f>D112</f>
        <v>67.08550847800602</v>
      </c>
      <c r="H112" s="52">
        <f t="shared" si="19"/>
        <v>0</v>
      </c>
    </row>
    <row r="113" spans="2:8">
      <c r="B113" s="26">
        <v>7489</v>
      </c>
      <c r="C113" s="52">
        <f t="shared" si="17"/>
        <v>59</v>
      </c>
      <c r="D113" s="52">
        <f t="shared" si="18"/>
        <v>225.66389219183415</v>
      </c>
      <c r="E113" s="52"/>
      <c r="F113" s="52"/>
      <c r="G113" s="12">
        <f>D113</f>
        <v>225.66389219183415</v>
      </c>
      <c r="H113" s="52">
        <f t="shared" si="19"/>
        <v>0</v>
      </c>
    </row>
    <row r="114" spans="2:8">
      <c r="B114" s="26">
        <v>7570</v>
      </c>
      <c r="C114" s="52">
        <f t="shared" si="17"/>
        <v>81</v>
      </c>
      <c r="D114" s="52">
        <f t="shared" si="18"/>
        <v>286.71560074604645</v>
      </c>
      <c r="E114" s="52"/>
      <c r="F114" s="52"/>
      <c r="G114" s="12">
        <f>D114</f>
        <v>286.71560074604645</v>
      </c>
      <c r="H114" s="52">
        <f t="shared" si="19"/>
        <v>0</v>
      </c>
    </row>
    <row r="115" spans="2:8">
      <c r="B115" s="26">
        <v>7580</v>
      </c>
      <c r="C115" s="52">
        <f t="shared" si="17"/>
        <v>10</v>
      </c>
      <c r="D115" s="52">
        <f t="shared" si="18"/>
        <v>34.623914684786328</v>
      </c>
      <c r="E115" s="52"/>
      <c r="F115" s="52"/>
      <c r="G115" s="168">
        <v>34.619999999999997</v>
      </c>
      <c r="H115" s="52">
        <f t="shared" si="19"/>
        <v>3.9146847863307244E-3</v>
      </c>
    </row>
    <row r="116" spans="2:8">
      <c r="B116" s="26">
        <v>7590</v>
      </c>
      <c r="C116" s="52">
        <f t="shared" si="17"/>
        <v>10</v>
      </c>
      <c r="D116" s="52">
        <f t="shared" si="18"/>
        <v>37.491893644617477</v>
      </c>
      <c r="E116" s="52"/>
      <c r="F116" s="52"/>
      <c r="G116" s="168">
        <v>37.49</v>
      </c>
      <c r="H116" s="52">
        <f t="shared" si="19"/>
        <v>1.8936446174748767E-3</v>
      </c>
    </row>
    <row r="117" spans="2:8">
      <c r="B117" s="26">
        <v>7600</v>
      </c>
      <c r="C117" s="52">
        <f t="shared" si="17"/>
        <v>10</v>
      </c>
      <c r="D117" s="52">
        <f t="shared" si="18"/>
        <v>34.632209980557214</v>
      </c>
      <c r="E117" s="52"/>
      <c r="F117" s="52"/>
      <c r="G117" s="168">
        <v>34.630000000000003</v>
      </c>
      <c r="H117" s="52">
        <f t="shared" si="19"/>
        <v>2.2099805572111109E-3</v>
      </c>
    </row>
    <row r="118" spans="2:8">
      <c r="B118" s="26"/>
      <c r="C118" s="52">
        <f t="shared" si="17"/>
        <v>-7600</v>
      </c>
      <c r="D118" s="52">
        <f>C118*$H18</f>
        <v>0</v>
      </c>
      <c r="E118" s="52"/>
      <c r="F118" s="52"/>
      <c r="G118" s="44"/>
      <c r="H118" s="52">
        <f t="shared" si="19"/>
        <v>0</v>
      </c>
    </row>
    <row r="119" spans="2:8">
      <c r="B119" s="26"/>
      <c r="C119" s="52">
        <f t="shared" si="17"/>
        <v>0</v>
      </c>
      <c r="D119" s="52">
        <f>C119*$H19</f>
        <v>0</v>
      </c>
      <c r="E119" s="52"/>
      <c r="F119" s="52"/>
      <c r="G119" s="44"/>
      <c r="H119" s="52">
        <f t="shared" si="19"/>
        <v>0</v>
      </c>
    </row>
    <row r="120" spans="2:8">
      <c r="B120" s="26"/>
      <c r="C120" s="52">
        <f t="shared" si="17"/>
        <v>0</v>
      </c>
      <c r="D120" s="52">
        <f>C120*$H20</f>
        <v>0</v>
      </c>
      <c r="E120" s="52"/>
      <c r="F120" s="52"/>
      <c r="G120" s="44"/>
      <c r="H120" s="52">
        <f t="shared" si="19"/>
        <v>0</v>
      </c>
    </row>
    <row r="121" spans="2:8">
      <c r="B121" s="26"/>
      <c r="C121" s="52">
        <f t="shared" si="17"/>
        <v>0</v>
      </c>
      <c r="D121" s="52">
        <f>C121*$H21</f>
        <v>0</v>
      </c>
      <c r="E121" s="52"/>
      <c r="F121" s="52"/>
      <c r="G121" s="44"/>
      <c r="H121" s="52">
        <f t="shared" si="19"/>
        <v>0</v>
      </c>
    </row>
    <row r="122" spans="2:8">
      <c r="B122" s="26"/>
      <c r="C122" s="52">
        <f t="shared" si="17"/>
        <v>0</v>
      </c>
      <c r="D122" s="52">
        <f>C122*$H22</f>
        <v>0</v>
      </c>
      <c r="E122" s="52"/>
      <c r="F122" s="52"/>
      <c r="G122" s="44"/>
      <c r="H122" s="52">
        <f t="shared" si="19"/>
        <v>0</v>
      </c>
    </row>
    <row r="123" spans="2:8">
      <c r="B123" s="29"/>
      <c r="C123" s="29" t="s">
        <v>15</v>
      </c>
      <c r="D123" s="7">
        <f>MAX(D111:D122)</f>
        <v>286.71560074604645</v>
      </c>
      <c r="G123" s="30">
        <f>D123*2</f>
        <v>573.4312014920929</v>
      </c>
      <c r="H123" s="7">
        <f>SUM(H110:H122)</f>
        <v>8.0183099610167119E-3</v>
      </c>
    </row>
    <row r="124" spans="2:8">
      <c r="B124" s="24"/>
      <c r="C124" s="24"/>
      <c r="D124" s="24"/>
      <c r="E124" s="24"/>
      <c r="F124" s="24"/>
      <c r="G124" s="45"/>
      <c r="H124" s="33"/>
    </row>
    <row r="125" spans="2:8">
      <c r="B125" s="10"/>
      <c r="C125" s="11"/>
      <c r="D125" s="11"/>
      <c r="E125" s="11"/>
      <c r="F125" s="11"/>
      <c r="G125" s="13"/>
      <c r="H125" s="14"/>
    </row>
    <row r="155" spans="2:2">
      <c r="B155" s="7" t="s">
        <v>24</v>
      </c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1402.693</v>
      </c>
      <c r="C3" s="59">
        <v>1386.2190000000001</v>
      </c>
      <c r="D3" s="60">
        <f>B3-C3</f>
        <v>16.473999999999933</v>
      </c>
      <c r="E3" s="60">
        <f>D3*$E$1</f>
        <v>988.43999999999596</v>
      </c>
    </row>
    <row r="4" spans="2:6">
      <c r="B4" s="61" t="s">
        <v>27</v>
      </c>
      <c r="C4" s="62">
        <v>3490</v>
      </c>
      <c r="D4" s="61" t="s">
        <v>28</v>
      </c>
      <c r="E4" s="63">
        <f>C4/E3</f>
        <v>3.5308162356845272</v>
      </c>
      <c r="F4" s="64"/>
    </row>
    <row r="5" spans="2:6">
      <c r="B5" s="65" t="s">
        <v>29</v>
      </c>
      <c r="C5" s="66">
        <f>B7+D7</f>
        <v>99.039395410950988</v>
      </c>
      <c r="D5" s="67"/>
      <c r="E5" s="68" t="s">
        <v>30</v>
      </c>
    </row>
    <row r="6" spans="2:6">
      <c r="B6" s="69">
        <v>122210</v>
      </c>
      <c r="C6" s="70">
        <v>121955</v>
      </c>
      <c r="D6" s="70">
        <f>B6-C6</f>
        <v>255</v>
      </c>
      <c r="E6" s="71">
        <f>D6*$E$4</f>
        <v>900.35814009955448</v>
      </c>
      <c r="F6" s="64"/>
    </row>
    <row r="7" spans="2:6">
      <c r="B7" s="72"/>
      <c r="C7" s="73">
        <v>0.11</v>
      </c>
      <c r="D7" s="64">
        <f>(D6*$E$4*C7)</f>
        <v>99.039395410950988</v>
      </c>
      <c r="E7" s="74">
        <f>D7+E6</f>
        <v>999.39753551050546</v>
      </c>
      <c r="F7" s="64"/>
    </row>
    <row r="8" spans="2:6">
      <c r="B8" s="75"/>
      <c r="D8" s="76"/>
      <c r="E8" s="77">
        <f>E7+C9</f>
        <v>999.39753551050546</v>
      </c>
    </row>
    <row r="9" spans="2:6">
      <c r="B9" s="78"/>
      <c r="C9" s="79">
        <v>0</v>
      </c>
      <c r="D9" s="80"/>
      <c r="E9" s="81">
        <f>D6/$E$3</f>
        <v>0.25798227510015886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5318</v>
      </c>
      <c r="C12" s="70">
        <v>5070</v>
      </c>
      <c r="D12" s="70">
        <f>B12-C12</f>
        <v>248</v>
      </c>
      <c r="E12" s="74">
        <f>D12*$E$4</f>
        <v>875.64242644976275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875.64242644976275</v>
      </c>
    </row>
    <row r="14" spans="2:6">
      <c r="B14" s="75"/>
      <c r="C14" s="86"/>
      <c r="D14" s="76">
        <f>E14/(B12-C12)</f>
        <v>3.5308162356845272</v>
      </c>
      <c r="E14" s="77">
        <f>E13+C15</f>
        <v>875.64242644976275</v>
      </c>
    </row>
    <row r="15" spans="2:6">
      <c r="B15" s="78"/>
      <c r="C15" s="79">
        <v>0</v>
      </c>
      <c r="D15" s="80"/>
      <c r="E15" s="81">
        <f>D12/$E$3</f>
        <v>0.25090040872486041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169.70188766308797</v>
      </c>
      <c r="D17" s="67"/>
      <c r="E17" s="68" t="s">
        <v>30</v>
      </c>
    </row>
    <row r="18" spans="2:5">
      <c r="B18" s="88">
        <v>1273</v>
      </c>
      <c r="C18" s="89">
        <v>1165</v>
      </c>
      <c r="D18" s="89">
        <f>B18-C18</f>
        <v>108</v>
      </c>
      <c r="E18" s="90">
        <f>D18*$E$4</f>
        <v>381.32815345392896</v>
      </c>
    </row>
    <row r="19" spans="2:5">
      <c r="B19" s="72">
        <f>'07-22'!C17</f>
        <v>119.67163392993248</v>
      </c>
      <c r="C19" s="73">
        <v>0.13120000000000001</v>
      </c>
      <c r="D19" s="64">
        <f>(D18*$E$4*C19)</f>
        <v>50.030253733155483</v>
      </c>
      <c r="E19" s="74">
        <f>D19+E18</f>
        <v>431.35840718708442</v>
      </c>
    </row>
    <row r="20" spans="2:5">
      <c r="B20" s="75"/>
      <c r="D20" s="76"/>
      <c r="E20" s="77">
        <f>E19+C21</f>
        <v>431.35840718708442</v>
      </c>
    </row>
    <row r="21" spans="2:5">
      <c r="B21" s="78"/>
      <c r="C21" s="79"/>
      <c r="D21" s="80"/>
      <c r="E21" s="81">
        <f>D18/$E$3</f>
        <v>0.10926308121889082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359.55991190073451</v>
      </c>
      <c r="D23" s="67">
        <v>0</v>
      </c>
      <c r="E23" s="68" t="s">
        <v>30</v>
      </c>
    </row>
    <row r="24" spans="2:5">
      <c r="B24" s="92">
        <f>E3-D6-D12-D18-D36-D30</f>
        <v>221.43999999999596</v>
      </c>
      <c r="C24" s="70"/>
      <c r="D24" s="70">
        <f>B24-C24</f>
        <v>221.43999999999596</v>
      </c>
      <c r="E24" s="93">
        <f>D24*$E$4</f>
        <v>781.86394722996749</v>
      </c>
    </row>
    <row r="25" spans="2:5">
      <c r="B25" s="72">
        <f>'06-22'!C23</f>
        <v>250.09895928853902</v>
      </c>
      <c r="C25" s="73">
        <v>0.14000000000000001</v>
      </c>
      <c r="D25" s="94">
        <f>(D24*$E$4*C25)</f>
        <v>109.46095261219546</v>
      </c>
      <c r="E25" s="74">
        <f>D25+E24</f>
        <v>891.32489984216295</v>
      </c>
    </row>
    <row r="26" spans="2:5">
      <c r="B26" s="75"/>
      <c r="C26" s="16"/>
      <c r="D26" s="95"/>
      <c r="E26" s="77">
        <f>E25+C27</f>
        <v>891.32489984216295</v>
      </c>
    </row>
    <row r="27" spans="2:5">
      <c r="B27" s="78"/>
      <c r="C27" s="79"/>
      <c r="D27" s="80"/>
      <c r="E27" s="81">
        <f>D24/$E$3</f>
        <v>0.22402978430658094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5686</v>
      </c>
      <c r="C30" s="70">
        <v>5549</v>
      </c>
      <c r="D30" s="70">
        <f>B30-C30</f>
        <v>137</v>
      </c>
      <c r="E30" s="93">
        <f>D30*$E$4</f>
        <v>483.72182428878023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483.72182428878023</v>
      </c>
    </row>
    <row r="32" spans="2:5">
      <c r="B32" s="75"/>
      <c r="D32" s="76"/>
      <c r="E32" s="77">
        <f>E31+C33</f>
        <v>483.72182428878023</v>
      </c>
    </row>
    <row r="33" spans="2:5">
      <c r="B33" s="78">
        <f>C33-D33</f>
        <v>0</v>
      </c>
      <c r="C33" s="79">
        <v>0</v>
      </c>
      <c r="D33" s="80"/>
      <c r="E33" s="81">
        <f>D30/$E$3</f>
        <v>0.13860224191655596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7430</v>
      </c>
      <c r="C36" s="89">
        <v>7411</v>
      </c>
      <c r="D36" s="89">
        <f>B36-C36+J39</f>
        <v>19</v>
      </c>
      <c r="E36" s="97">
        <f>D36*$E$4</f>
        <v>67.08550847800602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67.08550847800602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988.43999999999596</v>
      </c>
      <c r="D40" s="103">
        <f>E8+E14+E20+E26+E32+E37</f>
        <v>3748.5306017563016</v>
      </c>
      <c r="E40" s="7">
        <f>E36+E30+E24+E18+E12+E6</f>
        <v>3490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1386.2190000000001</v>
      </c>
      <c r="C3" s="59">
        <v>1366.6969999999999</v>
      </c>
      <c r="D3" s="60">
        <f>B3-C3</f>
        <v>19.522000000000162</v>
      </c>
      <c r="E3" s="60">
        <f>D3*$E$1</f>
        <v>1171.3200000000097</v>
      </c>
    </row>
    <row r="4" spans="2:6">
      <c r="B4" s="61" t="s">
        <v>27</v>
      </c>
      <c r="C4" s="62">
        <v>4335</v>
      </c>
      <c r="D4" s="61" t="s">
        <v>28</v>
      </c>
      <c r="E4" s="63">
        <f>C4/E3</f>
        <v>3.7009527712324251</v>
      </c>
      <c r="F4" s="64"/>
    </row>
    <row r="5" spans="2:6">
      <c r="B5" s="65" t="s">
        <v>29</v>
      </c>
      <c r="C5" s="66">
        <f>B7+D7</f>
        <v>141.32458252228139</v>
      </c>
      <c r="D5" s="67"/>
      <c r="E5" s="68" t="s">
        <v>30</v>
      </c>
    </row>
    <row r="6" spans="2:6">
      <c r="B6" s="69">
        <v>121955</v>
      </c>
      <c r="C6" s="70">
        <v>121642</v>
      </c>
      <c r="D6" s="70">
        <f>B6-C6</f>
        <v>313</v>
      </c>
      <c r="E6" s="71">
        <f>D6*$E$4</f>
        <v>1158.398217395749</v>
      </c>
      <c r="F6" s="64"/>
    </row>
    <row r="7" spans="2:6">
      <c r="B7" s="72"/>
      <c r="C7" s="73">
        <v>0.122</v>
      </c>
      <c r="D7" s="64">
        <f>(D6*$E$4*C7)</f>
        <v>141.32458252228139</v>
      </c>
      <c r="E7" s="74">
        <f>D7+E6</f>
        <v>1299.7227999180304</v>
      </c>
      <c r="F7" s="64"/>
    </row>
    <row r="8" spans="2:6">
      <c r="B8" s="75"/>
      <c r="D8" s="76"/>
      <c r="E8" s="77">
        <f>E7+C9</f>
        <v>1329.7227999180304</v>
      </c>
    </row>
    <row r="9" spans="2:6">
      <c r="B9" s="78"/>
      <c r="C9" s="79">
        <v>30</v>
      </c>
      <c r="D9" s="80"/>
      <c r="E9" s="81">
        <f>D6/$E$3</f>
        <v>0.26721988867260649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5070</v>
      </c>
      <c r="C12" s="70">
        <v>4737</v>
      </c>
      <c r="D12" s="70">
        <f>B12-C12</f>
        <v>333</v>
      </c>
      <c r="E12" s="74">
        <f>D12*$E$4</f>
        <v>1232.4172728203976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1232.4172728203976</v>
      </c>
    </row>
    <row r="14" spans="2:6">
      <c r="B14" s="75"/>
      <c r="C14" s="86"/>
      <c r="D14" s="76"/>
      <c r="E14" s="77">
        <f>E13+C15</f>
        <v>1282.4172728203976</v>
      </c>
    </row>
    <row r="15" spans="2:6">
      <c r="B15" s="78"/>
      <c r="C15" s="79">
        <v>50</v>
      </c>
      <c r="D15" s="80"/>
      <c r="E15" s="81">
        <f>D12/$E$3</f>
        <v>0.2842946419424216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1165</v>
      </c>
      <c r="C18" s="89">
        <v>1087</v>
      </c>
      <c r="D18" s="89">
        <f>B18-C18</f>
        <v>78</v>
      </c>
      <c r="E18" s="90">
        <f>D18*$E$4</f>
        <v>288.67431615612918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288.67431615612918</v>
      </c>
    </row>
    <row r="20" spans="2:5">
      <c r="B20" s="75"/>
      <c r="D20" s="76"/>
      <c r="E20" s="77">
        <f>E19+C21</f>
        <v>298.67431615612918</v>
      </c>
    </row>
    <row r="21" spans="2:5">
      <c r="B21" s="78"/>
      <c r="C21" s="79">
        <v>10</v>
      </c>
      <c r="D21" s="80"/>
      <c r="E21" s="81">
        <f>D18/$E$3</f>
        <v>6.6591537752278926E-2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375.9254319860118</v>
      </c>
      <c r="D23" s="67">
        <v>0</v>
      </c>
      <c r="E23" s="68" t="s">
        <v>30</v>
      </c>
    </row>
    <row r="24" spans="2:5">
      <c r="B24" s="92">
        <f>E3-D6-D12-D18-D36-D30</f>
        <v>283.32000000000971</v>
      </c>
      <c r="C24" s="70"/>
      <c r="D24" s="70">
        <f>B24-C24</f>
        <v>283.32000000000971</v>
      </c>
      <c r="E24" s="93">
        <f>D24*$E$4</f>
        <v>1048.5539391456066</v>
      </c>
    </row>
    <row r="25" spans="2:5">
      <c r="B25" s="72">
        <f>'06-22'!C23</f>
        <v>250.09895928853902</v>
      </c>
      <c r="C25" s="73">
        <v>0.12</v>
      </c>
      <c r="D25" s="94">
        <f>(D24*$E$4*C25)</f>
        <v>125.82647269747278</v>
      </c>
      <c r="E25" s="74">
        <f>D25+E24</f>
        <v>1174.3804118430794</v>
      </c>
    </row>
    <row r="26" spans="2:5">
      <c r="B26" s="75"/>
      <c r="C26" s="16"/>
      <c r="D26" s="95"/>
      <c r="E26" s="77">
        <f>E25+C27</f>
        <v>1204.3804118430794</v>
      </c>
    </row>
    <row r="27" spans="2:5">
      <c r="B27" s="78"/>
      <c r="C27" s="79">
        <v>30</v>
      </c>
      <c r="D27" s="80"/>
      <c r="E27" s="81">
        <f>D24/$E$3</f>
        <v>0.24188095482020913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5549</v>
      </c>
      <c r="C30" s="70">
        <v>5428</v>
      </c>
      <c r="D30" s="70">
        <f>B30-C30</f>
        <v>121</v>
      </c>
      <c r="E30" s="93">
        <f>D30*$E$4</f>
        <v>447.8152853191234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447.8152853191234</v>
      </c>
    </row>
    <row r="32" spans="2:5">
      <c r="B32" s="75"/>
      <c r="D32" s="76"/>
      <c r="E32" s="77">
        <f>E31+C33</f>
        <v>487.8152853191234</v>
      </c>
    </row>
    <row r="33" spans="2:5">
      <c r="B33" s="78">
        <f>C33-D33</f>
        <v>40</v>
      </c>
      <c r="C33" s="79">
        <v>40</v>
      </c>
      <c r="D33" s="80"/>
      <c r="E33" s="81">
        <f>D30/$E$3</f>
        <v>0.10330225728238142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7411</v>
      </c>
      <c r="C36" s="89">
        <v>7368</v>
      </c>
      <c r="D36" s="89">
        <f>B36-C36+J39</f>
        <v>43</v>
      </c>
      <c r="E36" s="97">
        <f>D36*$E$4</f>
        <v>159.14096916299428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169.14096916299428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1171.3200000000097</v>
      </c>
      <c r="D40" s="103">
        <f>E8+E14+E20+E26+E32+E37</f>
        <v>4772.1510552197533</v>
      </c>
      <c r="E40" s="7">
        <f>E36+E30+E24+E18+E12+E6</f>
        <v>4335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K142"/>
  <sheetViews>
    <sheetView workbookViewId="0"/>
  </sheetViews>
  <sheetFormatPr defaultRowHeight="12.75"/>
  <cols>
    <col min="1" max="1" width="2.140625" customWidth="1"/>
    <col min="2" max="2" width="8.42578125" style="104" customWidth="1"/>
    <col min="3" max="3" width="9.5703125" bestFit="1" customWidth="1"/>
    <col min="4" max="4" width="9.42578125" bestFit="1" customWidth="1"/>
    <col min="5" max="5" width="6.85546875" style="20" bestFit="1" customWidth="1"/>
    <col min="6" max="6" width="4.85546875" style="21" customWidth="1"/>
    <col min="7" max="7" width="1.42578125" style="7" customWidth="1"/>
    <col min="8" max="8" width="10.5703125" style="7" bestFit="1" customWidth="1"/>
    <col min="9" max="9" width="9" style="7" bestFit="1" customWidth="1"/>
    <col min="10" max="11" width="8.42578125" style="7" bestFit="1" customWidth="1"/>
    <col min="12" max="12" width="9" style="7" bestFit="1" customWidth="1"/>
    <col min="13" max="13" width="8.42578125" style="7" bestFit="1" customWidth="1"/>
    <col min="14" max="14" width="8.85546875" style="7" customWidth="1"/>
    <col min="15" max="16" width="8.42578125" style="7" bestFit="1" customWidth="1"/>
    <col min="17" max="17" width="9" style="7" bestFit="1" customWidth="1"/>
    <col min="18" max="19" width="8.42578125" style="7" bestFit="1" customWidth="1"/>
    <col min="20" max="20" width="7.28515625" style="7" bestFit="1" customWidth="1"/>
    <col min="21" max="21" width="8" style="7" bestFit="1" customWidth="1"/>
    <col min="22" max="22" width="7.42578125" style="7" bestFit="1" customWidth="1"/>
    <col min="23" max="23" width="8.42578125" style="7" bestFit="1" customWidth="1"/>
    <col min="24" max="24" width="6.85546875" bestFit="1" customWidth="1"/>
    <col min="25" max="26" width="8.42578125" bestFit="1" customWidth="1"/>
    <col min="27" max="27" width="9" bestFit="1" customWidth="1"/>
    <col min="28" max="28" width="8.42578125" bestFit="1" customWidth="1"/>
    <col min="29" max="29" width="6.85546875" bestFit="1" customWidth="1"/>
    <col min="30" max="31" width="8.42578125" bestFit="1" customWidth="1"/>
    <col min="32" max="32" width="9" bestFit="1" customWidth="1"/>
    <col min="33" max="33" width="8.42578125" bestFit="1" customWidth="1"/>
    <col min="34" max="34" width="6.5703125" bestFit="1" customWidth="1"/>
    <col min="35" max="35" width="7.28515625" bestFit="1" customWidth="1"/>
    <col min="36" max="36" width="8" bestFit="1" customWidth="1"/>
    <col min="37" max="37" width="6.7109375" bestFit="1" customWidth="1"/>
    <col min="38" max="38" width="1" customWidth="1"/>
    <col min="39" max="39" width="9.140625" customWidth="1"/>
  </cols>
  <sheetData>
    <row r="1" spans="7:12">
      <c r="G1" s="1"/>
    </row>
    <row r="2" spans="7:12">
      <c r="G2" s="1"/>
      <c r="H2" s="2" t="s">
        <v>0</v>
      </c>
      <c r="I2" s="3"/>
      <c r="J2" s="4" t="s">
        <v>1</v>
      </c>
      <c r="K2" s="5" t="s">
        <v>2</v>
      </c>
      <c r="L2" s="6" t="s">
        <v>3</v>
      </c>
    </row>
    <row r="3" spans="7:12">
      <c r="G3" s="1"/>
      <c r="H3" s="8" t="s">
        <v>4</v>
      </c>
      <c r="I3" s="9" t="s">
        <v>5</v>
      </c>
      <c r="J3" s="9" t="s">
        <v>6</v>
      </c>
      <c r="K3" s="5" t="s">
        <v>37</v>
      </c>
      <c r="L3" s="6" t="s">
        <v>38</v>
      </c>
    </row>
    <row r="4" spans="7:12">
      <c r="G4" s="1"/>
      <c r="H4" s="104"/>
      <c r="I4"/>
      <c r="J4" s="22"/>
      <c r="K4" s="5" t="s">
        <v>39</v>
      </c>
      <c r="L4" s="6" t="s">
        <v>40</v>
      </c>
    </row>
    <row r="5" spans="7:12">
      <c r="G5" s="1"/>
      <c r="H5" s="15">
        <v>45291</v>
      </c>
      <c r="I5" s="16">
        <v>1386.2190000000001</v>
      </c>
      <c r="J5" s="17">
        <f>60*19.52</f>
        <v>1171.2</v>
      </c>
      <c r="K5" s="18">
        <v>4335</v>
      </c>
      <c r="L5" s="19">
        <f>K5/J5</f>
        <v>3.7013319672131146</v>
      </c>
    </row>
    <row r="6" spans="7:12">
      <c r="G6" s="1"/>
      <c r="H6" s="15">
        <v>45322</v>
      </c>
      <c r="I6" s="16">
        <v>1402.693</v>
      </c>
      <c r="J6" s="17">
        <f>60*(I6-I5)</f>
        <v>988.43999999999596</v>
      </c>
      <c r="K6" s="18">
        <v>3490</v>
      </c>
      <c r="L6" s="19">
        <f>K6/J6</f>
        <v>3.5308162356845272</v>
      </c>
    </row>
    <row r="7" spans="7:12">
      <c r="G7" s="1"/>
      <c r="H7" s="15">
        <v>45351</v>
      </c>
      <c r="I7" s="16">
        <v>1423.7180000000001</v>
      </c>
      <c r="J7" s="17">
        <f>60*(I7-I6)</f>
        <v>1261.5000000000055</v>
      </c>
      <c r="K7" s="18">
        <v>4825</v>
      </c>
      <c r="L7" s="19">
        <f>K7/J7</f>
        <v>3.8248117320649855</v>
      </c>
    </row>
    <row r="8" spans="7:12">
      <c r="G8" s="1"/>
      <c r="H8" s="15">
        <v>45382</v>
      </c>
      <c r="I8" s="16">
        <v>1440.6130000000001</v>
      </c>
      <c r="J8" s="17">
        <f>60*(I8-I7)</f>
        <v>1013.6999999999989</v>
      </c>
      <c r="K8" s="18">
        <v>3870</v>
      </c>
      <c r="L8" s="19">
        <f>K8/J8</f>
        <v>3.8176975436519722</v>
      </c>
    </row>
    <row r="9" spans="7:12">
      <c r="G9" s="1"/>
      <c r="H9" s="15"/>
      <c r="I9" s="16"/>
      <c r="J9" s="22"/>
      <c r="K9" s="18"/>
      <c r="L9" s="19"/>
    </row>
    <row r="10" spans="7:12">
      <c r="G10" s="1"/>
      <c r="H10" s="15"/>
      <c r="I10" s="16"/>
      <c r="J10" s="22"/>
      <c r="K10" s="18"/>
      <c r="L10" s="19"/>
    </row>
    <row r="11" spans="7:12">
      <c r="G11" s="1"/>
      <c r="H11" s="15"/>
      <c r="I11" s="16"/>
      <c r="J11" s="22"/>
      <c r="K11" s="18"/>
      <c r="L11" s="19"/>
    </row>
    <row r="12" spans="7:12">
      <c r="G12" s="1"/>
      <c r="H12" s="15"/>
      <c r="I12" s="16"/>
      <c r="J12" s="22"/>
      <c r="K12" s="18"/>
      <c r="L12" s="19"/>
    </row>
    <row r="13" spans="7:12">
      <c r="G13" s="1"/>
      <c r="H13" s="15"/>
      <c r="I13" s="16"/>
      <c r="J13" s="22"/>
      <c r="K13" s="18"/>
      <c r="L13" s="19"/>
    </row>
    <row r="14" spans="7:12">
      <c r="G14" s="1"/>
      <c r="H14" s="15"/>
      <c r="I14" s="16"/>
      <c r="J14" s="22"/>
      <c r="K14" s="18"/>
      <c r="L14" s="19"/>
    </row>
    <row r="15" spans="7:12">
      <c r="G15" s="1"/>
      <c r="H15" s="15"/>
      <c r="I15" s="16"/>
      <c r="J15" s="22"/>
      <c r="K15" s="18"/>
      <c r="L15" s="19"/>
    </row>
    <row r="16" spans="7:12">
      <c r="G16" s="1"/>
      <c r="H16" s="15"/>
      <c r="I16" s="16"/>
      <c r="J16" s="22"/>
      <c r="K16" s="18"/>
      <c r="L16" s="19"/>
    </row>
    <row r="17" spans="3:22">
      <c r="G17" s="1"/>
      <c r="H17" s="104"/>
      <c r="I17"/>
      <c r="J17"/>
      <c r="K17" s="20"/>
      <c r="L17" s="21"/>
    </row>
    <row r="18" spans="3:22" ht="18">
      <c r="H18" s="105">
        <v>2024</v>
      </c>
      <c r="I18"/>
      <c r="J18"/>
      <c r="K18" s="20"/>
      <c r="L18" s="21"/>
    </row>
    <row r="20" spans="3:22">
      <c r="I20" s="24"/>
      <c r="J20" s="24"/>
      <c r="K20" s="24"/>
      <c r="L20" s="24"/>
      <c r="M20" s="34"/>
      <c r="N20" s="34"/>
      <c r="O20" s="34"/>
      <c r="P20" s="34"/>
      <c r="Q20" s="34"/>
      <c r="R20" s="17"/>
      <c r="S20" s="17"/>
      <c r="T20" s="17"/>
      <c r="U20" s="17"/>
      <c r="V20" s="17"/>
    </row>
    <row r="21" spans="3:22">
      <c r="D21" s="7"/>
      <c r="H21" s="23" t="s">
        <v>9</v>
      </c>
      <c r="I21" s="24"/>
      <c r="J21" s="24"/>
      <c r="K21" s="24"/>
      <c r="L21" s="24"/>
      <c r="M21" s="34" t="s">
        <v>16</v>
      </c>
      <c r="N21" s="34"/>
      <c r="O21" s="34"/>
      <c r="P21" s="34"/>
      <c r="Q21" s="34"/>
      <c r="R21" s="17" t="s">
        <v>17</v>
      </c>
      <c r="S21" s="17"/>
      <c r="T21" s="17"/>
      <c r="U21" s="17"/>
      <c r="V21" s="17"/>
    </row>
    <row r="22" spans="3:22">
      <c r="C22" s="7"/>
      <c r="H22" s="25" t="s">
        <v>5</v>
      </c>
      <c r="I22" s="25" t="s">
        <v>10</v>
      </c>
      <c r="J22" s="25" t="s">
        <v>11</v>
      </c>
      <c r="K22" s="32" t="s">
        <v>14</v>
      </c>
      <c r="L22" s="32"/>
      <c r="M22" s="35" t="s">
        <v>5</v>
      </c>
      <c r="N22" s="35" t="s">
        <v>10</v>
      </c>
      <c r="O22" s="35" t="s">
        <v>11</v>
      </c>
      <c r="P22" s="36" t="s">
        <v>14</v>
      </c>
      <c r="Q22" s="36"/>
      <c r="R22" s="37" t="s">
        <v>5</v>
      </c>
      <c r="S22" s="37" t="s">
        <v>10</v>
      </c>
      <c r="T22" s="37" t="s">
        <v>11</v>
      </c>
      <c r="U22" s="9" t="s">
        <v>14</v>
      </c>
      <c r="V22" s="9"/>
    </row>
    <row r="23" spans="3:22">
      <c r="C23" s="7"/>
      <c r="H23" s="24"/>
      <c r="I23" s="24"/>
      <c r="J23" s="24"/>
      <c r="K23" s="24"/>
      <c r="L23" s="24">
        <v>-105.53</v>
      </c>
      <c r="M23" s="34"/>
      <c r="N23" s="34"/>
      <c r="O23" s="34"/>
      <c r="P23" s="34"/>
      <c r="Q23" s="34">
        <v>-3924.11</v>
      </c>
      <c r="R23" s="17"/>
      <c r="S23" s="17"/>
      <c r="T23" s="17"/>
      <c r="U23" s="17"/>
      <c r="V23" s="17">
        <v>-800</v>
      </c>
    </row>
    <row r="24" spans="3:22">
      <c r="H24" s="106">
        <v>121955</v>
      </c>
      <c r="I24" s="24">
        <f>H24-H110</f>
        <v>113</v>
      </c>
      <c r="J24" s="24">
        <f>I24*L5</f>
        <v>418.25051229508193</v>
      </c>
      <c r="K24" s="28">
        <v>1299.72</v>
      </c>
      <c r="L24" s="24">
        <f>J24-K24</f>
        <v>-881.46948770491804</v>
      </c>
      <c r="M24" s="106">
        <v>5070</v>
      </c>
      <c r="N24" s="34">
        <f>M24-M110</f>
        <v>333</v>
      </c>
      <c r="O24" s="34">
        <f>N24*$L5</f>
        <v>1232.5435450819671</v>
      </c>
      <c r="P24" s="28">
        <v>1232.42</v>
      </c>
      <c r="Q24" s="34">
        <f>O24-P24</f>
        <v>0.12354508196699499</v>
      </c>
      <c r="R24" s="106">
        <v>1165</v>
      </c>
      <c r="S24" s="17">
        <f>R24-R110</f>
        <v>78</v>
      </c>
      <c r="T24" s="17">
        <f>S24*$L5</f>
        <v>288.70389344262293</v>
      </c>
      <c r="U24" s="28">
        <v>288.67</v>
      </c>
      <c r="V24" s="17">
        <f>T24-U24</f>
        <v>3.3893442622911607E-2</v>
      </c>
    </row>
    <row r="25" spans="3:22">
      <c r="H25" s="106">
        <v>122210</v>
      </c>
      <c r="I25" s="24">
        <f>H25-H24</f>
        <v>255</v>
      </c>
      <c r="J25" s="24">
        <f>I25*L6</f>
        <v>900.35814009955448</v>
      </c>
      <c r="K25" s="28">
        <v>999.4</v>
      </c>
      <c r="L25" s="24">
        <f>J25-K25</f>
        <v>-99.041859900445502</v>
      </c>
      <c r="M25" s="106">
        <v>5318</v>
      </c>
      <c r="N25" s="34">
        <f>M25-M24</f>
        <v>248</v>
      </c>
      <c r="O25" s="34">
        <f>N25*$L6</f>
        <v>875.64242644976275</v>
      </c>
      <c r="P25" s="28">
        <v>875.64</v>
      </c>
      <c r="Q25" s="34">
        <f>O25-P25</f>
        <v>2.4264497627655146E-3</v>
      </c>
      <c r="R25" s="106">
        <v>1273</v>
      </c>
      <c r="S25" s="17">
        <f>R25-R24</f>
        <v>108</v>
      </c>
      <c r="T25" s="17">
        <f>S25*$L6</f>
        <v>381.32815345392896</v>
      </c>
      <c r="U25" s="28">
        <v>431.36</v>
      </c>
      <c r="V25" s="17">
        <f>T25-U25</f>
        <v>-50.031846546071051</v>
      </c>
    </row>
    <row r="26" spans="3:22">
      <c r="H26" s="106">
        <v>122430</v>
      </c>
      <c r="I26" s="24">
        <f>H26-H25</f>
        <v>220</v>
      </c>
      <c r="J26" s="24">
        <f>I26*L7</f>
        <v>841.45858105429681</v>
      </c>
      <c r="K26" s="28">
        <v>967.68</v>
      </c>
      <c r="L26" s="24">
        <f>J26-K26</f>
        <v>-126.22141894570314</v>
      </c>
      <c r="M26" s="106">
        <v>5589</v>
      </c>
      <c r="N26" s="34">
        <f>M26-M25</f>
        <v>271</v>
      </c>
      <c r="O26" s="34">
        <f>N26*$L7</f>
        <v>1036.523979389611</v>
      </c>
      <c r="P26" s="28">
        <v>1192</v>
      </c>
      <c r="Q26" s="34">
        <f>O26-P26</f>
        <v>-155.47602061038901</v>
      </c>
      <c r="R26" s="106">
        <v>1335</v>
      </c>
      <c r="S26" s="17">
        <f>R26-R25</f>
        <v>62</v>
      </c>
      <c r="T26" s="17">
        <f>S26*$L7</f>
        <v>237.1383273880291</v>
      </c>
      <c r="U26" s="28">
        <v>237.14</v>
      </c>
      <c r="V26" s="17">
        <f>T26-U26</f>
        <v>-1.6726119708891929E-3</v>
      </c>
    </row>
    <row r="27" spans="3:22">
      <c r="H27" s="106">
        <v>122624</v>
      </c>
      <c r="I27" s="24">
        <f>H27-H26</f>
        <v>194</v>
      </c>
      <c r="J27" s="24">
        <f>I27*L8</f>
        <v>740.63332346848256</v>
      </c>
      <c r="K27" s="28">
        <v>870</v>
      </c>
      <c r="L27" s="24">
        <f>J27-K27</f>
        <v>-129.36667653151744</v>
      </c>
      <c r="M27" s="106">
        <v>5775</v>
      </c>
      <c r="N27" s="34">
        <f>M27-M26</f>
        <v>186</v>
      </c>
      <c r="O27" s="34">
        <f>N27*$L8</f>
        <v>710.09174311926688</v>
      </c>
      <c r="P27" s="28">
        <v>1100</v>
      </c>
      <c r="Q27" s="34">
        <f>O27-P27</f>
        <v>-389.90825688073312</v>
      </c>
      <c r="R27" s="106">
        <v>1384</v>
      </c>
      <c r="S27" s="17">
        <f>R27-R26</f>
        <v>49</v>
      </c>
      <c r="T27" s="17">
        <f>S27*$L8</f>
        <v>187.06717963894664</v>
      </c>
      <c r="U27" s="28">
        <v>187.07</v>
      </c>
      <c r="V27" s="17">
        <f>T27-U27</f>
        <v>-2.8203610533523715E-3</v>
      </c>
    </row>
    <row r="28" spans="3:22">
      <c r="H28" s="106"/>
      <c r="I28" s="24"/>
      <c r="J28" s="24"/>
      <c r="K28" s="28"/>
      <c r="L28" s="24"/>
      <c r="M28" s="106"/>
      <c r="P28" s="28"/>
      <c r="R28" s="106"/>
      <c r="U28" s="28"/>
    </row>
    <row r="29" spans="3:22">
      <c r="H29" s="106"/>
      <c r="I29" s="24"/>
      <c r="J29" s="24"/>
      <c r="K29" s="28"/>
      <c r="L29" s="24"/>
      <c r="M29" s="106"/>
      <c r="P29" s="28"/>
      <c r="R29" s="106"/>
      <c r="U29" s="28"/>
    </row>
    <row r="30" spans="3:22">
      <c r="H30" s="106"/>
      <c r="I30" s="24"/>
      <c r="J30" s="24"/>
      <c r="K30" s="28"/>
      <c r="L30" s="24"/>
      <c r="M30" s="106"/>
      <c r="P30" s="28"/>
      <c r="R30" s="106"/>
      <c r="U30" s="28"/>
    </row>
    <row r="31" spans="3:22">
      <c r="H31" s="106"/>
      <c r="I31" s="24"/>
      <c r="J31" s="24"/>
      <c r="K31" s="28"/>
      <c r="L31" s="24"/>
      <c r="M31" s="106"/>
      <c r="P31" s="28"/>
      <c r="R31" s="106"/>
      <c r="U31" s="28"/>
    </row>
    <row r="32" spans="3:22">
      <c r="H32" s="106"/>
      <c r="I32" s="24"/>
      <c r="J32" s="24"/>
      <c r="K32" s="28"/>
      <c r="L32" s="24"/>
      <c r="M32" s="106"/>
      <c r="P32" s="28"/>
      <c r="R32" s="106"/>
      <c r="U32" s="28"/>
    </row>
    <row r="33" spans="8:22">
      <c r="H33" s="106"/>
      <c r="I33" s="24"/>
      <c r="J33" s="24"/>
      <c r="K33" s="28"/>
      <c r="L33" s="24"/>
      <c r="M33" s="106"/>
      <c r="P33" s="28"/>
      <c r="R33" s="106"/>
      <c r="U33" s="28"/>
    </row>
    <row r="34" spans="8:22">
      <c r="H34" s="106"/>
      <c r="I34" s="24"/>
      <c r="J34" s="24"/>
      <c r="K34" s="28"/>
      <c r="L34" s="24"/>
      <c r="M34" s="106"/>
      <c r="P34" s="28"/>
      <c r="R34" s="106"/>
      <c r="U34" s="28"/>
    </row>
    <row r="35" spans="8:22">
      <c r="H35" s="106"/>
      <c r="I35" s="24"/>
      <c r="J35" s="24"/>
      <c r="K35" s="28"/>
      <c r="L35" s="24"/>
      <c r="M35" s="106"/>
      <c r="P35" s="28"/>
      <c r="R35" s="106"/>
      <c r="U35" s="28"/>
    </row>
    <row r="36" spans="8:22">
      <c r="K36" s="30">
        <f>J115</f>
        <v>2300.0000000000005</v>
      </c>
      <c r="L36" s="7">
        <f>SUM(L23:L35)</f>
        <v>-1341.6294430825842</v>
      </c>
      <c r="P36" s="30">
        <f>O115</f>
        <v>2400</v>
      </c>
      <c r="Q36" s="7">
        <f>SUM(Q23:Q35)</f>
        <v>-4469.3683059593923</v>
      </c>
      <c r="U36" s="30">
        <f>T115</f>
        <v>600</v>
      </c>
      <c r="V36" s="7">
        <f>SUM(V23:V35)</f>
        <v>-850.00244607647232</v>
      </c>
    </row>
    <row r="37" spans="8:22">
      <c r="H37" s="29" t="s">
        <v>41</v>
      </c>
      <c r="I37" s="29" t="s">
        <v>42</v>
      </c>
      <c r="J37" s="29" t="s">
        <v>15</v>
      </c>
      <c r="K37" s="107"/>
      <c r="L37" s="108"/>
      <c r="M37" s="29" t="s">
        <v>41</v>
      </c>
      <c r="N37" s="29" t="s">
        <v>42</v>
      </c>
      <c r="O37" s="29" t="s">
        <v>15</v>
      </c>
      <c r="P37" s="108"/>
      <c r="Q37" s="108"/>
      <c r="R37" s="29" t="s">
        <v>41</v>
      </c>
      <c r="S37" s="29" t="s">
        <v>42</v>
      </c>
      <c r="T37" s="29" t="s">
        <v>15</v>
      </c>
      <c r="U37" s="108"/>
      <c r="V37" s="108"/>
    </row>
    <row r="38" spans="8:22">
      <c r="H38" s="7">
        <f>J38+I38</f>
        <v>1625.5332793289085</v>
      </c>
      <c r="I38" s="7">
        <f>AVERAGE(J24:J35)</f>
        <v>725.17513922935393</v>
      </c>
      <c r="J38" s="7">
        <f>MAX(J24:J35)</f>
        <v>900.35814009955448</v>
      </c>
      <c r="M38" s="7">
        <f>O38+N38</f>
        <v>2196.243968592119</v>
      </c>
      <c r="N38" s="7">
        <f>AVERAGE(O24:O35)</f>
        <v>963.70042351015184</v>
      </c>
      <c r="O38" s="7">
        <f>MAX(O24:O35)</f>
        <v>1232.5435450819671</v>
      </c>
      <c r="R38" s="7">
        <f>T38+S38</f>
        <v>654.88754193481088</v>
      </c>
      <c r="S38" s="7">
        <f>AVERAGE(T24:T35)</f>
        <v>273.55938848088192</v>
      </c>
      <c r="T38" s="7">
        <f>MAX(T24:T35)</f>
        <v>381.32815345392896</v>
      </c>
    </row>
    <row r="39" spans="8:22">
      <c r="I39" s="32" t="s">
        <v>43</v>
      </c>
      <c r="J39" s="108">
        <f>ROUNDUP(H38/1000,1)*1000</f>
        <v>1700.0000000000002</v>
      </c>
      <c r="N39" s="32" t="s">
        <v>43</v>
      </c>
      <c r="O39" s="108">
        <f>ROUNDUP(M38/1000,1)*1000</f>
        <v>2200</v>
      </c>
      <c r="S39" s="32" t="s">
        <v>43</v>
      </c>
      <c r="T39" s="108">
        <f>ROUNDUP(R38/1000,1)*1000</f>
        <v>700</v>
      </c>
    </row>
    <row r="41" spans="8:22">
      <c r="H41" s="39"/>
      <c r="I41" s="39"/>
      <c r="J41" s="39"/>
      <c r="K41" s="39"/>
      <c r="L41" s="39"/>
      <c r="M41" s="43"/>
      <c r="N41" s="43"/>
      <c r="O41" s="43"/>
      <c r="P41" s="43"/>
      <c r="Q41" s="43"/>
      <c r="R41" s="52"/>
      <c r="S41" s="52"/>
      <c r="T41" s="52"/>
      <c r="U41" s="52"/>
      <c r="V41" s="52"/>
    </row>
    <row r="42" spans="8:22">
      <c r="H42" s="39" t="s">
        <v>21</v>
      </c>
      <c r="I42" s="40"/>
      <c r="J42" s="40"/>
      <c r="K42" s="40"/>
      <c r="L42" s="40"/>
      <c r="M42" s="46" t="s">
        <v>22</v>
      </c>
      <c r="N42" s="46"/>
      <c r="O42" s="46"/>
      <c r="P42" s="46"/>
      <c r="Q42" s="46"/>
      <c r="R42" s="49" t="s">
        <v>23</v>
      </c>
      <c r="S42" s="49"/>
      <c r="T42" s="49"/>
      <c r="U42" s="49"/>
      <c r="V42" s="49"/>
    </row>
    <row r="43" spans="8:22">
      <c r="H43" s="41" t="s">
        <v>5</v>
      </c>
      <c r="I43" s="41" t="s">
        <v>10</v>
      </c>
      <c r="J43" s="41" t="s">
        <v>11</v>
      </c>
      <c r="K43" s="42" t="s">
        <v>14</v>
      </c>
      <c r="L43" s="42"/>
      <c r="M43" s="47" t="s">
        <v>5</v>
      </c>
      <c r="N43" s="47" t="s">
        <v>10</v>
      </c>
      <c r="O43" s="47" t="s">
        <v>11</v>
      </c>
      <c r="P43" s="48" t="s">
        <v>14</v>
      </c>
      <c r="Q43" s="48"/>
      <c r="R43" s="50" t="s">
        <v>5</v>
      </c>
      <c r="S43" s="50" t="s">
        <v>10</v>
      </c>
      <c r="T43" s="50" t="s">
        <v>11</v>
      </c>
      <c r="U43" s="51" t="s">
        <v>14</v>
      </c>
      <c r="V43" s="51"/>
    </row>
    <row r="44" spans="8:22">
      <c r="H44" s="39"/>
      <c r="I44" s="39"/>
      <c r="J44" s="39"/>
      <c r="K44" s="39"/>
      <c r="L44" s="39">
        <v>-3125</v>
      </c>
      <c r="M44" s="43"/>
      <c r="N44" s="43"/>
      <c r="O44" s="43"/>
      <c r="P44" s="43"/>
      <c r="Q44" s="43">
        <v>-1200</v>
      </c>
      <c r="R44" s="52"/>
      <c r="S44" s="52"/>
      <c r="T44" s="52"/>
      <c r="U44" s="52"/>
      <c r="V44" s="52"/>
    </row>
    <row r="45" spans="8:22">
      <c r="H45" s="39"/>
      <c r="I45" s="39">
        <f>J5-I24-N24-S24-N45-S45</f>
        <v>483.20000000000005</v>
      </c>
      <c r="J45" s="39">
        <f>I45*$L5</f>
        <v>1788.4836065573772</v>
      </c>
      <c r="K45" s="28">
        <v>1174.3800000000001</v>
      </c>
      <c r="L45" s="39">
        <f>J45-K45</f>
        <v>614.10360655737713</v>
      </c>
      <c r="M45" s="109">
        <v>5549</v>
      </c>
      <c r="N45" s="43">
        <f>M45-M134</f>
        <v>121</v>
      </c>
      <c r="O45" s="43">
        <f>N45*$L5</f>
        <v>447.86116803278685</v>
      </c>
      <c r="P45" s="28">
        <v>447.82</v>
      </c>
      <c r="Q45" s="43">
        <f>O45-P45</f>
        <v>4.1168032786856656E-2</v>
      </c>
      <c r="R45" s="106">
        <v>7411</v>
      </c>
      <c r="S45" s="52">
        <f>R45-R134</f>
        <v>43</v>
      </c>
      <c r="T45" s="52">
        <f>S45*$L5</f>
        <v>159.15727459016392</v>
      </c>
      <c r="U45" s="28">
        <f>T45</f>
        <v>159.15727459016392</v>
      </c>
      <c r="V45" s="52">
        <f>T45-U45</f>
        <v>0</v>
      </c>
    </row>
    <row r="46" spans="8:22">
      <c r="H46" s="39"/>
      <c r="I46" s="39">
        <f>J6-I25-N25-S25-N46-S46</f>
        <v>221.43999999999596</v>
      </c>
      <c r="J46" s="39">
        <f>I46*$L6</f>
        <v>781.86394722996749</v>
      </c>
      <c r="K46" s="28">
        <v>891.32</v>
      </c>
      <c r="L46" s="39">
        <f>J46-K46</f>
        <v>-109.45605277003256</v>
      </c>
      <c r="M46" s="106">
        <v>5686</v>
      </c>
      <c r="N46" s="43">
        <f>M46-M45</f>
        <v>137</v>
      </c>
      <c r="O46" s="43">
        <f>N46*$L6</f>
        <v>483.72182428878023</v>
      </c>
      <c r="P46" s="28">
        <v>483.72</v>
      </c>
      <c r="Q46" s="43">
        <f>O46-P46</f>
        <v>1.8242887801989127E-3</v>
      </c>
      <c r="R46" s="106">
        <v>7430</v>
      </c>
      <c r="S46" s="52">
        <f>R46-R45</f>
        <v>19</v>
      </c>
      <c r="T46" s="52">
        <f>S46*$L6</f>
        <v>67.08550847800602</v>
      </c>
      <c r="U46" s="28">
        <f>T46</f>
        <v>67.08550847800602</v>
      </c>
      <c r="V46" s="52">
        <f>T46-U46</f>
        <v>0</v>
      </c>
    </row>
    <row r="47" spans="8:22">
      <c r="H47" s="39"/>
      <c r="I47" s="39">
        <f>J7-I26-N26-S26-N47-S47</f>
        <v>534.50000000000546</v>
      </c>
      <c r="J47" s="39">
        <f>I47*$L7</f>
        <v>2044.3618707887556</v>
      </c>
      <c r="K47" s="28">
        <v>2248.8000000000002</v>
      </c>
      <c r="L47" s="39">
        <f>J47-K47</f>
        <v>-204.43812921124459</v>
      </c>
      <c r="M47" s="106">
        <v>5801</v>
      </c>
      <c r="N47" s="43">
        <f>M47-M46</f>
        <v>115</v>
      </c>
      <c r="O47" s="43">
        <f>N47*$L7</f>
        <v>439.85334918747333</v>
      </c>
      <c r="P47" s="28">
        <v>439.85</v>
      </c>
      <c r="Q47" s="43">
        <f>O47-P47</f>
        <v>3.3491874733044824E-3</v>
      </c>
      <c r="R47" s="106">
        <v>7489</v>
      </c>
      <c r="S47" s="52">
        <f>R47-R46</f>
        <v>59</v>
      </c>
      <c r="T47" s="52">
        <f>S47*$L7</f>
        <v>225.66389219183415</v>
      </c>
      <c r="U47" s="28">
        <f>T47</f>
        <v>225.66389219183415</v>
      </c>
      <c r="V47" s="52">
        <f>T47-U47</f>
        <v>0</v>
      </c>
    </row>
    <row r="48" spans="8:22">
      <c r="I48" s="39">
        <f>J8-I27-N27-S27-N48-S48</f>
        <v>439.69999999999891</v>
      </c>
      <c r="J48" s="39">
        <f>I48*$L8</f>
        <v>1678.6416099437681</v>
      </c>
      <c r="K48" s="28">
        <v>1853.85</v>
      </c>
      <c r="L48" s="39">
        <f>J48-K48</f>
        <v>-175.20839005623179</v>
      </c>
      <c r="M48" s="106">
        <v>5865</v>
      </c>
      <c r="N48" s="43">
        <f>M48-M47</f>
        <v>64</v>
      </c>
      <c r="O48" s="43">
        <f>N48*$L8</f>
        <v>244.33264279372622</v>
      </c>
      <c r="P48" s="28">
        <v>394.38</v>
      </c>
      <c r="Q48" s="43">
        <f>O48-P48</f>
        <v>-150.04735720627377</v>
      </c>
      <c r="R48" s="106">
        <v>7570</v>
      </c>
      <c r="S48" s="52">
        <f>R48-R47</f>
        <v>81</v>
      </c>
      <c r="T48" s="52">
        <f>S48*$L8</f>
        <v>309.23350103580975</v>
      </c>
      <c r="U48" s="28">
        <f>T48</f>
        <v>309.23350103580975</v>
      </c>
      <c r="V48" s="52">
        <f>T48-U48</f>
        <v>0</v>
      </c>
    </row>
    <row r="49" spans="8:22">
      <c r="I49"/>
      <c r="J49"/>
      <c r="K49" s="44"/>
      <c r="L49"/>
      <c r="M49" s="16"/>
      <c r="N49"/>
      <c r="O49"/>
      <c r="P49" s="44"/>
      <c r="Q49"/>
      <c r="R49" s="16"/>
      <c r="S49"/>
      <c r="T49"/>
      <c r="U49" s="44"/>
      <c r="V49"/>
    </row>
    <row r="50" spans="8:22">
      <c r="I50"/>
      <c r="J50"/>
      <c r="K50" s="44"/>
      <c r="L50"/>
      <c r="M50" s="16"/>
      <c r="N50"/>
      <c r="O50"/>
      <c r="P50" s="44"/>
      <c r="Q50"/>
      <c r="R50" s="16"/>
      <c r="S50"/>
      <c r="T50"/>
      <c r="U50" s="44"/>
      <c r="V50"/>
    </row>
    <row r="51" spans="8:22">
      <c r="J51"/>
      <c r="K51" s="44"/>
      <c r="L51"/>
      <c r="M51" s="16"/>
      <c r="N51"/>
      <c r="O51"/>
      <c r="P51" s="44"/>
      <c r="Q51"/>
      <c r="R51" s="16"/>
      <c r="S51"/>
      <c r="T51"/>
      <c r="U51" s="44"/>
      <c r="V51"/>
    </row>
    <row r="52" spans="8:22">
      <c r="J52"/>
      <c r="K52" s="44"/>
      <c r="L52"/>
      <c r="M52" s="16"/>
      <c r="N52"/>
      <c r="O52"/>
      <c r="P52" s="44"/>
      <c r="Q52"/>
      <c r="R52" s="16"/>
      <c r="S52"/>
      <c r="T52"/>
      <c r="U52" s="44"/>
      <c r="V52"/>
    </row>
    <row r="53" spans="8:22">
      <c r="I53"/>
      <c r="J53"/>
      <c r="K53" s="44"/>
      <c r="L53"/>
      <c r="M53" s="16"/>
      <c r="N53"/>
      <c r="O53"/>
      <c r="P53" s="44"/>
      <c r="Q53"/>
      <c r="R53" s="16"/>
      <c r="S53"/>
      <c r="T53"/>
      <c r="U53" s="44"/>
      <c r="V53"/>
    </row>
    <row r="54" spans="8:22">
      <c r="I54"/>
      <c r="J54"/>
      <c r="K54" s="44"/>
      <c r="L54"/>
      <c r="M54" s="16"/>
      <c r="N54"/>
      <c r="O54"/>
      <c r="P54" s="44"/>
      <c r="Q54"/>
      <c r="R54" s="16"/>
      <c r="S54"/>
      <c r="T54"/>
      <c r="U54" s="44"/>
      <c r="V54"/>
    </row>
    <row r="55" spans="8:22">
      <c r="I55"/>
      <c r="J55"/>
      <c r="K55" s="44"/>
      <c r="L55"/>
      <c r="M55" s="16"/>
      <c r="N55"/>
      <c r="O55"/>
      <c r="P55" s="44"/>
      <c r="Q55"/>
      <c r="R55" s="16"/>
      <c r="S55"/>
      <c r="T55"/>
      <c r="U55" s="44"/>
      <c r="V55"/>
    </row>
    <row r="56" spans="8:22">
      <c r="I56"/>
      <c r="J56"/>
      <c r="K56" s="44"/>
      <c r="L56"/>
      <c r="M56" s="16"/>
      <c r="N56"/>
      <c r="O56"/>
      <c r="P56" s="44"/>
      <c r="Q56"/>
      <c r="R56" s="16"/>
      <c r="S56"/>
      <c r="T56"/>
      <c r="U56" s="44"/>
      <c r="V56"/>
    </row>
    <row r="57" spans="8:22">
      <c r="I57"/>
      <c r="J57"/>
      <c r="K57" s="30">
        <f>J139</f>
        <v>2400</v>
      </c>
      <c r="L57" s="7">
        <f>SUM(L44:L56)</f>
        <v>-2999.998965480132</v>
      </c>
      <c r="M57"/>
      <c r="N57"/>
      <c r="O57"/>
      <c r="P57" s="30">
        <f>O139</f>
        <v>1600</v>
      </c>
      <c r="Q57" s="7">
        <f>SUM(Q44:Q56)</f>
        <v>-1350.0010156972335</v>
      </c>
      <c r="R57"/>
      <c r="S57"/>
      <c r="T57"/>
      <c r="U57" s="30">
        <f>T139</f>
        <v>300.00000000000006</v>
      </c>
      <c r="V57" s="7">
        <f>SUM(V44:V56)</f>
        <v>0</v>
      </c>
    </row>
    <row r="58" spans="8:22">
      <c r="H58" s="29" t="s">
        <v>41</v>
      </c>
      <c r="I58" s="29" t="s">
        <v>42</v>
      </c>
      <c r="J58" s="29" t="s">
        <v>15</v>
      </c>
      <c r="K58" s="86"/>
      <c r="L58" s="108"/>
      <c r="M58" s="29" t="s">
        <v>41</v>
      </c>
      <c r="N58" s="29" t="s">
        <v>42</v>
      </c>
      <c r="O58" s="29" t="s">
        <v>15</v>
      </c>
      <c r="P58" s="86"/>
      <c r="Q58" s="108"/>
      <c r="R58" s="29" t="s">
        <v>41</v>
      </c>
      <c r="S58" s="29" t="s">
        <v>42</v>
      </c>
      <c r="T58" s="29" t="s">
        <v>15</v>
      </c>
      <c r="U58" s="86"/>
      <c r="V58" s="108"/>
    </row>
    <row r="59" spans="8:22">
      <c r="H59" s="7">
        <f>J59+I59</f>
        <v>3617.6996294187229</v>
      </c>
      <c r="I59" s="7">
        <f>AVERAGE(J45:J56)</f>
        <v>1573.3377586299671</v>
      </c>
      <c r="J59" s="7">
        <f>MAX(J45:J56)</f>
        <v>2044.3618707887556</v>
      </c>
      <c r="K59"/>
      <c r="L59"/>
      <c r="M59" s="7">
        <f>O59+N59</f>
        <v>887.66407036447185</v>
      </c>
      <c r="N59" s="7">
        <f>AVERAGE(O45:O56)</f>
        <v>403.94224607569163</v>
      </c>
      <c r="O59" s="7">
        <f>MAX(O45:O56)</f>
        <v>483.72182428878023</v>
      </c>
      <c r="P59"/>
      <c r="Q59"/>
      <c r="R59" s="7">
        <f>T59+S59</f>
        <v>499.51854510976324</v>
      </c>
      <c r="S59" s="7">
        <f>AVERAGE(T45:T56)</f>
        <v>190.28504407395349</v>
      </c>
      <c r="T59" s="7">
        <f>MAX(T45:T56)</f>
        <v>309.23350103580975</v>
      </c>
      <c r="U59"/>
      <c r="V59"/>
    </row>
    <row r="60" spans="8:22">
      <c r="I60" s="32" t="s">
        <v>43</v>
      </c>
      <c r="J60" s="108">
        <f>ROUNDUP(H59/1000,1)*1000</f>
        <v>3700</v>
      </c>
      <c r="K60"/>
      <c r="L60"/>
      <c r="M60"/>
      <c r="N60" s="32" t="s">
        <v>43</v>
      </c>
      <c r="O60" s="108">
        <f>ROUNDUP(M59/1000,1)*1000</f>
        <v>900</v>
      </c>
      <c r="P60"/>
      <c r="Q60"/>
      <c r="R60"/>
      <c r="S60" s="32" t="s">
        <v>43</v>
      </c>
      <c r="T60" s="108">
        <f>ROUNDUP(R59/1000,1)*1000</f>
        <v>500</v>
      </c>
      <c r="U60"/>
      <c r="V60"/>
    </row>
    <row r="94" spans="2:37">
      <c r="H94" s="1"/>
    </row>
    <row r="95" spans="2:37">
      <c r="B95" s="2" t="s">
        <v>0</v>
      </c>
      <c r="C95" s="3"/>
      <c r="D95" s="4" t="s">
        <v>1</v>
      </c>
      <c r="E95" s="5" t="s">
        <v>2</v>
      </c>
      <c r="F95" s="19"/>
      <c r="H95" s="23" t="s">
        <v>9</v>
      </c>
      <c r="I95" s="24"/>
      <c r="J95" s="24"/>
      <c r="K95" s="24"/>
      <c r="L95" s="24"/>
      <c r="M95" s="34" t="s">
        <v>16</v>
      </c>
      <c r="N95" s="34"/>
      <c r="O95" s="34"/>
      <c r="P95" s="34"/>
      <c r="Q95" s="34"/>
      <c r="R95" s="17" t="s">
        <v>17</v>
      </c>
      <c r="S95" s="17"/>
      <c r="T95" s="17"/>
      <c r="U95" s="17"/>
      <c r="V95" s="17"/>
      <c r="AK95" s="49"/>
    </row>
    <row r="96" spans="2:37">
      <c r="B96" s="8" t="s">
        <v>4</v>
      </c>
      <c r="C96" s="9" t="s">
        <v>1</v>
      </c>
      <c r="D96" s="9" t="s">
        <v>6</v>
      </c>
      <c r="E96" s="5" t="s">
        <v>37</v>
      </c>
      <c r="F96" s="110" t="s">
        <v>44</v>
      </c>
      <c r="H96" s="25" t="s">
        <v>5</v>
      </c>
      <c r="I96" s="25" t="s">
        <v>10</v>
      </c>
      <c r="J96" s="25" t="s">
        <v>11</v>
      </c>
      <c r="K96" s="32" t="s">
        <v>14</v>
      </c>
      <c r="L96" s="32"/>
      <c r="M96" s="35" t="s">
        <v>5</v>
      </c>
      <c r="N96" s="35" t="s">
        <v>10</v>
      </c>
      <c r="O96" s="35" t="s">
        <v>11</v>
      </c>
      <c r="P96" s="36" t="s">
        <v>14</v>
      </c>
      <c r="Q96" s="36"/>
      <c r="R96" s="37" t="s">
        <v>5</v>
      </c>
      <c r="S96" s="37" t="s">
        <v>10</v>
      </c>
      <c r="T96" s="37" t="s">
        <v>11</v>
      </c>
      <c r="U96" s="9" t="s">
        <v>14</v>
      </c>
      <c r="V96" s="9"/>
      <c r="AK96" s="51"/>
    </row>
    <row r="97" spans="2:37">
      <c r="B97" s="111"/>
      <c r="C97" s="9"/>
      <c r="D97" s="22"/>
      <c r="E97" s="5" t="s">
        <v>39</v>
      </c>
      <c r="F97" s="19"/>
      <c r="G97" s="108"/>
      <c r="H97" s="33"/>
      <c r="I97" s="33"/>
      <c r="J97" s="33"/>
      <c r="K97" s="33"/>
      <c r="L97" s="33"/>
      <c r="M97" s="112"/>
      <c r="N97" s="112"/>
      <c r="O97" s="112"/>
      <c r="P97" s="112"/>
      <c r="Q97" s="112"/>
      <c r="R97" s="113"/>
      <c r="S97" s="113"/>
      <c r="T97" s="113"/>
      <c r="U97" s="113"/>
      <c r="V97" s="113"/>
      <c r="AK97" s="49"/>
    </row>
    <row r="98" spans="2:37">
      <c r="H98" s="24">
        <v>119205</v>
      </c>
      <c r="I98" s="24"/>
      <c r="J98" s="24">
        <f>I98*$AS98</f>
        <v>0</v>
      </c>
      <c r="K98" s="24"/>
      <c r="L98" s="24"/>
      <c r="M98" s="34">
        <v>1523</v>
      </c>
      <c r="N98" s="34"/>
      <c r="O98" s="34">
        <f t="shared" ref="O98:O110" si="0">N98*$F98</f>
        <v>0</v>
      </c>
      <c r="P98" s="34"/>
      <c r="Q98" s="34">
        <v>-185.91</v>
      </c>
      <c r="R98" s="17">
        <v>490.58800000000002</v>
      </c>
      <c r="S98" s="17"/>
      <c r="T98" s="17">
        <f t="shared" ref="T98:T110" si="1">S98*$F98</f>
        <v>0</v>
      </c>
      <c r="U98" s="17"/>
      <c r="V98" s="17">
        <v>-699.99</v>
      </c>
      <c r="AK98" s="52">
        <f t="shared" ref="AK98:AK110" si="2">T122-U122</f>
        <v>0</v>
      </c>
    </row>
    <row r="99" spans="2:37">
      <c r="B99" s="104">
        <v>44926</v>
      </c>
      <c r="C99">
        <v>1191.5530000000001</v>
      </c>
      <c r="D99">
        <v>1400</v>
      </c>
      <c r="E99" s="20">
        <v>4973</v>
      </c>
      <c r="F99" s="21">
        <f t="shared" ref="F99:F110" si="3">E99/D99</f>
        <v>3.552142857142857</v>
      </c>
      <c r="G99" s="1"/>
      <c r="H99" s="24">
        <v>119531</v>
      </c>
      <c r="I99" s="24">
        <f t="shared" ref="I99:I110" si="4">H99-H98</f>
        <v>326</v>
      </c>
      <c r="J99" s="24">
        <f t="shared" ref="J99:J110" si="5">I99*F99</f>
        <v>1157.9985714285715</v>
      </c>
      <c r="K99" s="24">
        <v>1201.74</v>
      </c>
      <c r="L99" s="24">
        <v>0</v>
      </c>
      <c r="M99" s="34">
        <v>1737</v>
      </c>
      <c r="N99" s="34">
        <f t="shared" ref="N99:N110" si="6">M99-M98</f>
        <v>214</v>
      </c>
      <c r="O99" s="34">
        <f t="shared" si="0"/>
        <v>760.15857142857146</v>
      </c>
      <c r="P99" s="34">
        <v>1214.8699999999999</v>
      </c>
      <c r="Q99" s="34">
        <f t="shared" ref="Q99:Q110" si="7">O99-P99</f>
        <v>-454.71142857142843</v>
      </c>
      <c r="R99" s="17">
        <v>588</v>
      </c>
      <c r="S99" s="17">
        <f t="shared" ref="S99:S110" si="8">R99-R98</f>
        <v>97.411999999999978</v>
      </c>
      <c r="T99" s="17">
        <f t="shared" si="1"/>
        <v>346.0213399999999</v>
      </c>
      <c r="U99" s="17">
        <v>346.02</v>
      </c>
      <c r="V99" s="17">
        <f t="shared" ref="V99:V110" si="9">T99-U99</f>
        <v>1.3399999999137435E-3</v>
      </c>
      <c r="AK99" s="52">
        <f t="shared" si="2"/>
        <v>2.8721428573135199E-3</v>
      </c>
    </row>
    <row r="100" spans="2:37">
      <c r="B100" s="104">
        <v>44957</v>
      </c>
      <c r="C100">
        <v>1209.8230000000001</v>
      </c>
      <c r="D100" s="7">
        <f t="shared" ref="D100:D110" si="10">60*(C100-C99)</f>
        <v>1096.1999999999989</v>
      </c>
      <c r="E100" s="20">
        <v>3845</v>
      </c>
      <c r="F100" s="21">
        <f t="shared" si="3"/>
        <v>3.5075716110198902</v>
      </c>
      <c r="G100" s="1"/>
      <c r="H100" s="24">
        <v>119886</v>
      </c>
      <c r="I100" s="24">
        <f t="shared" si="4"/>
        <v>355</v>
      </c>
      <c r="J100" s="24">
        <f t="shared" si="5"/>
        <v>1245.187921912061</v>
      </c>
      <c r="K100" s="24">
        <v>1245.19</v>
      </c>
      <c r="L100" s="24">
        <f t="shared" ref="L100:L110" si="11">J100-K100</f>
        <v>-2.0780879390258633E-3</v>
      </c>
      <c r="M100" s="34">
        <v>1947</v>
      </c>
      <c r="N100" s="34">
        <f t="shared" si="6"/>
        <v>210</v>
      </c>
      <c r="O100" s="34">
        <f t="shared" si="0"/>
        <v>736.59003831417692</v>
      </c>
      <c r="P100" s="34">
        <v>1245.19</v>
      </c>
      <c r="Q100" s="34">
        <f t="shared" si="7"/>
        <v>-508.59996168582313</v>
      </c>
      <c r="R100" s="17">
        <v>658</v>
      </c>
      <c r="S100" s="17">
        <f t="shared" si="8"/>
        <v>70</v>
      </c>
      <c r="T100" s="17">
        <f t="shared" si="1"/>
        <v>245.53001277139231</v>
      </c>
      <c r="U100" s="17">
        <v>295.54000000000002</v>
      </c>
      <c r="V100" s="17">
        <f t="shared" si="9"/>
        <v>-50.009987228607713</v>
      </c>
      <c r="AK100" s="52">
        <f t="shared" si="2"/>
        <v>0</v>
      </c>
    </row>
    <row r="101" spans="2:37">
      <c r="B101" s="104">
        <v>44985</v>
      </c>
      <c r="C101">
        <v>1225.116</v>
      </c>
      <c r="D101" s="7">
        <f t="shared" si="10"/>
        <v>917.57999999999356</v>
      </c>
      <c r="E101" s="20">
        <v>3150</v>
      </c>
      <c r="F101" s="21">
        <f t="shared" si="3"/>
        <v>3.4329431766167771</v>
      </c>
      <c r="G101" s="1"/>
      <c r="H101" s="24">
        <v>120152</v>
      </c>
      <c r="I101" s="24">
        <f t="shared" si="4"/>
        <v>266</v>
      </c>
      <c r="J101" s="24">
        <f t="shared" si="5"/>
        <v>913.1628849800627</v>
      </c>
      <c r="K101" s="24">
        <v>913.16</v>
      </c>
      <c r="L101" s="24">
        <f t="shared" si="11"/>
        <v>2.8849800627313016E-3</v>
      </c>
      <c r="M101" s="34">
        <v>2144</v>
      </c>
      <c r="N101" s="34">
        <f t="shared" si="6"/>
        <v>197</v>
      </c>
      <c r="O101" s="34">
        <f t="shared" si="0"/>
        <v>676.28980579350502</v>
      </c>
      <c r="P101" s="34">
        <v>913.16</v>
      </c>
      <c r="Q101" s="34">
        <f t="shared" si="7"/>
        <v>-236.87019420649494</v>
      </c>
      <c r="R101" s="17">
        <v>712</v>
      </c>
      <c r="S101" s="17">
        <f t="shared" si="8"/>
        <v>54</v>
      </c>
      <c r="T101" s="17">
        <f t="shared" si="1"/>
        <v>185.37893153730596</v>
      </c>
      <c r="U101" s="17">
        <v>223.14</v>
      </c>
      <c r="V101" s="17">
        <f t="shared" si="9"/>
        <v>-37.761068462694027</v>
      </c>
      <c r="AK101" s="52">
        <f t="shared" si="2"/>
        <v>0</v>
      </c>
    </row>
    <row r="102" spans="2:37">
      <c r="B102" s="104">
        <v>45016</v>
      </c>
      <c r="C102">
        <v>1242.6790000000001</v>
      </c>
      <c r="D102" s="7">
        <f t="shared" si="10"/>
        <v>1053.7800000000061</v>
      </c>
      <c r="E102" s="20">
        <v>3656</v>
      </c>
      <c r="F102" s="21">
        <f t="shared" si="3"/>
        <v>3.4694148683785788</v>
      </c>
      <c r="G102" s="1"/>
      <c r="H102" s="24">
        <v>120387</v>
      </c>
      <c r="I102" s="24">
        <f t="shared" si="4"/>
        <v>235</v>
      </c>
      <c r="J102" s="24">
        <f t="shared" si="5"/>
        <v>815.31249406896598</v>
      </c>
      <c r="K102" s="24">
        <v>815.31</v>
      </c>
      <c r="L102" s="24">
        <f t="shared" si="11"/>
        <v>2.4940689660297721E-3</v>
      </c>
      <c r="M102" s="34">
        <v>2421</v>
      </c>
      <c r="N102" s="34">
        <f t="shared" si="6"/>
        <v>277</v>
      </c>
      <c r="O102" s="34">
        <f t="shared" si="0"/>
        <v>961.02791854086638</v>
      </c>
      <c r="P102" s="34">
        <v>1190.52</v>
      </c>
      <c r="Q102" s="34">
        <f t="shared" si="7"/>
        <v>-229.4920814591336</v>
      </c>
      <c r="R102" s="17">
        <v>762</v>
      </c>
      <c r="S102" s="17">
        <f t="shared" si="8"/>
        <v>50</v>
      </c>
      <c r="T102" s="17">
        <f t="shared" si="1"/>
        <v>173.47074341892895</v>
      </c>
      <c r="U102" s="17">
        <v>185.71</v>
      </c>
      <c r="V102" s="17">
        <f t="shared" si="9"/>
        <v>-12.239256581071061</v>
      </c>
      <c r="AK102" s="52">
        <f t="shared" si="2"/>
        <v>0</v>
      </c>
    </row>
    <row r="103" spans="2:37">
      <c r="B103" s="104">
        <v>45046</v>
      </c>
      <c r="C103">
        <v>1254.9960000000001</v>
      </c>
      <c r="D103" s="7">
        <f t="shared" si="10"/>
        <v>739.02000000000044</v>
      </c>
      <c r="E103" s="20">
        <v>2097</v>
      </c>
      <c r="F103" s="21">
        <f t="shared" si="3"/>
        <v>2.8375416091580727</v>
      </c>
      <c r="G103" s="1"/>
      <c r="H103" s="24">
        <v>120524</v>
      </c>
      <c r="I103" s="24">
        <f t="shared" si="4"/>
        <v>137</v>
      </c>
      <c r="J103" s="24">
        <f t="shared" si="5"/>
        <v>388.74320045465595</v>
      </c>
      <c r="K103" s="24">
        <v>489.04</v>
      </c>
      <c r="L103" s="24">
        <f t="shared" si="11"/>
        <v>-100.29679954534407</v>
      </c>
      <c r="M103" s="34">
        <v>2646</v>
      </c>
      <c r="N103" s="34">
        <f t="shared" si="6"/>
        <v>225</v>
      </c>
      <c r="O103" s="34">
        <f t="shared" si="0"/>
        <v>638.44686206056633</v>
      </c>
      <c r="P103" s="34">
        <v>888.46</v>
      </c>
      <c r="Q103" s="34">
        <f t="shared" si="7"/>
        <v>-250.0131379394337</v>
      </c>
      <c r="R103" s="17">
        <v>803</v>
      </c>
      <c r="S103" s="17">
        <f t="shared" si="8"/>
        <v>41</v>
      </c>
      <c r="T103" s="17">
        <f t="shared" si="1"/>
        <v>116.33920597548098</v>
      </c>
      <c r="U103" s="17">
        <v>116.34</v>
      </c>
      <c r="V103" s="17">
        <f t="shared" si="9"/>
        <v>-7.9402451902410576E-4</v>
      </c>
      <c r="AK103" s="52">
        <f t="shared" si="2"/>
        <v>0</v>
      </c>
    </row>
    <row r="104" spans="2:37">
      <c r="B104" s="104">
        <v>45077</v>
      </c>
      <c r="C104">
        <v>1270.481</v>
      </c>
      <c r="D104" s="7">
        <f t="shared" si="10"/>
        <v>929.099999999994</v>
      </c>
      <c r="E104" s="20">
        <v>2637</v>
      </c>
      <c r="F104" s="21">
        <f t="shared" si="3"/>
        <v>2.8382305456893953</v>
      </c>
      <c r="G104" s="1"/>
      <c r="H104" s="24">
        <v>120678</v>
      </c>
      <c r="I104" s="24">
        <f t="shared" si="4"/>
        <v>154</v>
      </c>
      <c r="J104" s="24">
        <f t="shared" si="5"/>
        <v>437.08750403616688</v>
      </c>
      <c r="K104" s="24">
        <v>537.09</v>
      </c>
      <c r="L104" s="24">
        <f t="shared" si="11"/>
        <v>-100.00249596383316</v>
      </c>
      <c r="M104" s="34">
        <v>2807</v>
      </c>
      <c r="N104" s="34">
        <f t="shared" si="6"/>
        <v>161</v>
      </c>
      <c r="O104" s="34">
        <f t="shared" si="0"/>
        <v>456.95511785599263</v>
      </c>
      <c r="P104" s="34">
        <v>877.27</v>
      </c>
      <c r="Q104" s="34">
        <f t="shared" si="7"/>
        <v>-420.31488214400736</v>
      </c>
      <c r="R104" s="17">
        <v>845</v>
      </c>
      <c r="S104" s="17">
        <f t="shared" si="8"/>
        <v>42</v>
      </c>
      <c r="T104" s="17">
        <f t="shared" si="1"/>
        <v>119.20568291895461</v>
      </c>
      <c r="U104" s="17">
        <v>119.21</v>
      </c>
      <c r="V104" s="17">
        <f t="shared" si="9"/>
        <v>-4.3170810453858621E-3</v>
      </c>
      <c r="AK104" s="52">
        <f t="shared" si="2"/>
        <v>0</v>
      </c>
    </row>
    <row r="105" spans="2:37">
      <c r="B105" s="104">
        <v>45107</v>
      </c>
      <c r="C105">
        <v>1284.4580000000001</v>
      </c>
      <c r="D105" s="7">
        <f t="shared" si="10"/>
        <v>838.62000000000535</v>
      </c>
      <c r="E105" s="20">
        <v>2380</v>
      </c>
      <c r="F105" s="21">
        <f t="shared" si="3"/>
        <v>2.8379957549307013</v>
      </c>
      <c r="G105" s="1"/>
      <c r="H105" s="24">
        <v>120825</v>
      </c>
      <c r="I105" s="24">
        <f t="shared" si="4"/>
        <v>147</v>
      </c>
      <c r="J105" s="24">
        <f t="shared" si="5"/>
        <v>417.1853759748131</v>
      </c>
      <c r="K105" s="24">
        <v>517.27</v>
      </c>
      <c r="L105" s="24">
        <f t="shared" si="11"/>
        <v>-100.08462402518688</v>
      </c>
      <c r="M105" s="34">
        <v>3144</v>
      </c>
      <c r="N105" s="34">
        <f t="shared" si="6"/>
        <v>337</v>
      </c>
      <c r="O105" s="34">
        <f t="shared" si="0"/>
        <v>956.40456941164632</v>
      </c>
      <c r="P105" s="34">
        <v>950.96</v>
      </c>
      <c r="Q105" s="34">
        <f t="shared" si="7"/>
        <v>5.4445694116462846</v>
      </c>
      <c r="R105" s="17">
        <v>881</v>
      </c>
      <c r="S105" s="17">
        <f t="shared" si="8"/>
        <v>36</v>
      </c>
      <c r="T105" s="17">
        <f t="shared" si="1"/>
        <v>102.16784717750525</v>
      </c>
      <c r="U105" s="17">
        <v>102.17</v>
      </c>
      <c r="V105" s="17">
        <f t="shared" si="9"/>
        <v>-2.1528224947502395E-3</v>
      </c>
      <c r="AK105" s="52">
        <f t="shared" si="2"/>
        <v>0</v>
      </c>
    </row>
    <row r="106" spans="2:37">
      <c r="B106" s="104">
        <v>45138</v>
      </c>
      <c r="C106">
        <v>1299.329</v>
      </c>
      <c r="D106" s="7">
        <f t="shared" si="10"/>
        <v>892.25999999999203</v>
      </c>
      <c r="E106" s="20">
        <v>2575</v>
      </c>
      <c r="F106" s="21">
        <f t="shared" si="3"/>
        <v>2.8859301100576324</v>
      </c>
      <c r="G106" s="1"/>
      <c r="H106" s="24">
        <v>120960</v>
      </c>
      <c r="I106" s="24">
        <f t="shared" si="4"/>
        <v>135</v>
      </c>
      <c r="J106" s="24">
        <f t="shared" si="5"/>
        <v>389.6005648577804</v>
      </c>
      <c r="K106" s="24">
        <v>490.63</v>
      </c>
      <c r="L106" s="24">
        <f t="shared" si="11"/>
        <v>-101.0294351422196</v>
      </c>
      <c r="M106" s="34">
        <v>3400</v>
      </c>
      <c r="N106" s="34">
        <f t="shared" si="6"/>
        <v>256</v>
      </c>
      <c r="O106" s="34">
        <f t="shared" si="0"/>
        <v>738.79810817475391</v>
      </c>
      <c r="P106" s="34">
        <v>1036.8399999999999</v>
      </c>
      <c r="Q106" s="34">
        <f t="shared" si="7"/>
        <v>-298.04189182524601</v>
      </c>
      <c r="R106" s="17">
        <v>910</v>
      </c>
      <c r="S106" s="17">
        <f t="shared" si="8"/>
        <v>29</v>
      </c>
      <c r="T106" s="17">
        <f t="shared" si="1"/>
        <v>83.691973191671337</v>
      </c>
      <c r="U106" s="17">
        <v>83.69</v>
      </c>
      <c r="V106" s="17">
        <f t="shared" si="9"/>
        <v>1.9731916713396913E-3</v>
      </c>
      <c r="AK106" s="52">
        <f t="shared" si="2"/>
        <v>0</v>
      </c>
    </row>
    <row r="107" spans="2:37">
      <c r="B107" s="104">
        <v>45169</v>
      </c>
      <c r="C107">
        <v>1315.3340000000001</v>
      </c>
      <c r="D107" s="7">
        <f t="shared" si="10"/>
        <v>960.30000000000655</v>
      </c>
      <c r="E107" s="20">
        <v>2800</v>
      </c>
      <c r="F107" s="21">
        <f t="shared" si="3"/>
        <v>2.9157554930750607</v>
      </c>
      <c r="G107" s="1"/>
      <c r="H107" s="24">
        <v>121144</v>
      </c>
      <c r="I107" s="24">
        <f t="shared" si="4"/>
        <v>184</v>
      </c>
      <c r="J107" s="24">
        <f t="shared" si="5"/>
        <v>536.4990107258111</v>
      </c>
      <c r="K107" s="24">
        <v>643.79999999999995</v>
      </c>
      <c r="L107" s="24">
        <f t="shared" si="11"/>
        <v>-107.30098927418885</v>
      </c>
      <c r="M107" s="34">
        <v>3697</v>
      </c>
      <c r="N107" s="34">
        <f t="shared" si="6"/>
        <v>297</v>
      </c>
      <c r="O107" s="34">
        <f t="shared" si="0"/>
        <v>865.97938144329305</v>
      </c>
      <c r="P107" s="34">
        <v>1165.77</v>
      </c>
      <c r="Q107" s="34">
        <f t="shared" si="7"/>
        <v>-299.79061855670693</v>
      </c>
      <c r="R107" s="17">
        <v>943</v>
      </c>
      <c r="S107" s="17">
        <f t="shared" si="8"/>
        <v>33</v>
      </c>
      <c r="T107" s="17">
        <f t="shared" si="1"/>
        <v>96.219931271477009</v>
      </c>
      <c r="U107" s="17">
        <v>96.22</v>
      </c>
      <c r="V107" s="17">
        <f t="shared" si="9"/>
        <v>-6.8728522990113561E-5</v>
      </c>
      <c r="AK107" s="52">
        <f t="shared" si="2"/>
        <v>0</v>
      </c>
    </row>
    <row r="108" spans="2:37">
      <c r="B108" s="104">
        <v>45199</v>
      </c>
      <c r="C108">
        <v>1331.693</v>
      </c>
      <c r="D108" s="7">
        <f t="shared" si="10"/>
        <v>981.53999999999542</v>
      </c>
      <c r="E108" s="20">
        <v>2911</v>
      </c>
      <c r="F108" s="21">
        <f t="shared" si="3"/>
        <v>2.9657477025898218</v>
      </c>
      <c r="G108" s="1"/>
      <c r="H108" s="24">
        <v>121292</v>
      </c>
      <c r="I108" s="24">
        <f t="shared" si="4"/>
        <v>148</v>
      </c>
      <c r="J108" s="24">
        <f t="shared" si="5"/>
        <v>438.93065998329365</v>
      </c>
      <c r="K108" s="24">
        <v>548.66</v>
      </c>
      <c r="L108" s="24">
        <f t="shared" si="11"/>
        <v>-109.72934001670632</v>
      </c>
      <c r="M108" s="34">
        <v>4015</v>
      </c>
      <c r="N108" s="34">
        <f t="shared" si="6"/>
        <v>318</v>
      </c>
      <c r="O108" s="34">
        <f t="shared" si="0"/>
        <v>943.10776942356335</v>
      </c>
      <c r="P108" s="34">
        <v>1237.75</v>
      </c>
      <c r="Q108" s="34">
        <f t="shared" si="7"/>
        <v>-294.64223057643665</v>
      </c>
      <c r="R108" s="17">
        <v>992</v>
      </c>
      <c r="S108" s="17">
        <f t="shared" si="8"/>
        <v>49</v>
      </c>
      <c r="T108" s="17">
        <f t="shared" si="1"/>
        <v>145.32163742690128</v>
      </c>
      <c r="U108" s="17">
        <v>145.32</v>
      </c>
      <c r="V108" s="17">
        <f t="shared" si="9"/>
        <v>1.637426901282879E-3</v>
      </c>
      <c r="AK108" s="52">
        <f t="shared" si="2"/>
        <v>0</v>
      </c>
    </row>
    <row r="109" spans="2:37">
      <c r="B109" s="104">
        <v>45230</v>
      </c>
      <c r="C109">
        <v>1346.4010000000001</v>
      </c>
      <c r="D109" s="7">
        <f t="shared" si="10"/>
        <v>882.48000000000502</v>
      </c>
      <c r="E109" s="20">
        <v>3055</v>
      </c>
      <c r="F109" s="21">
        <f t="shared" si="3"/>
        <v>3.4618348291179206</v>
      </c>
      <c r="G109" s="1"/>
      <c r="H109" s="24">
        <v>121430</v>
      </c>
      <c r="I109" s="24">
        <f t="shared" si="4"/>
        <v>138</v>
      </c>
      <c r="J109" s="24">
        <f t="shared" si="5"/>
        <v>477.73320641827303</v>
      </c>
      <c r="K109" s="24">
        <v>598.12</v>
      </c>
      <c r="L109" s="24">
        <f t="shared" si="11"/>
        <v>-120.38679358172698</v>
      </c>
      <c r="M109" s="34">
        <v>4344</v>
      </c>
      <c r="N109" s="34">
        <f t="shared" si="6"/>
        <v>329</v>
      </c>
      <c r="O109" s="34">
        <f t="shared" si="0"/>
        <v>1138.9436587797959</v>
      </c>
      <c r="P109" s="34">
        <v>1539.74</v>
      </c>
      <c r="Q109" s="34">
        <f t="shared" si="7"/>
        <v>-400.79634122020411</v>
      </c>
      <c r="R109" s="17">
        <v>1034</v>
      </c>
      <c r="S109" s="17">
        <f t="shared" si="8"/>
        <v>42</v>
      </c>
      <c r="T109" s="17">
        <f t="shared" si="1"/>
        <v>145.39706282295268</v>
      </c>
      <c r="U109" s="17">
        <v>145.4</v>
      </c>
      <c r="V109" s="17">
        <f t="shared" si="9"/>
        <v>-2.9371770473289871E-3</v>
      </c>
      <c r="AK109" s="52">
        <f t="shared" si="2"/>
        <v>0</v>
      </c>
    </row>
    <row r="110" spans="2:37">
      <c r="B110" s="104">
        <v>45260</v>
      </c>
      <c r="C110">
        <v>1366.6969999999999</v>
      </c>
      <c r="D110" s="7">
        <f t="shared" si="10"/>
        <v>1217.7599999999893</v>
      </c>
      <c r="E110" s="20">
        <v>4585</v>
      </c>
      <c r="F110" s="21">
        <f t="shared" si="3"/>
        <v>3.7651097096308308</v>
      </c>
      <c r="G110" s="1"/>
      <c r="H110" s="24">
        <v>121842</v>
      </c>
      <c r="I110" s="24">
        <f t="shared" si="4"/>
        <v>412</v>
      </c>
      <c r="J110" s="24">
        <f t="shared" si="5"/>
        <v>1551.2252003679023</v>
      </c>
      <c r="K110" s="24">
        <v>917.93</v>
      </c>
      <c r="L110" s="24">
        <f t="shared" si="11"/>
        <v>633.29520036790234</v>
      </c>
      <c r="M110" s="34">
        <v>4737</v>
      </c>
      <c r="N110" s="34">
        <f t="shared" si="6"/>
        <v>393</v>
      </c>
      <c r="O110" s="34">
        <f t="shared" si="0"/>
        <v>1479.6881158849164</v>
      </c>
      <c r="P110" s="34">
        <v>1830.06</v>
      </c>
      <c r="Q110" s="34">
        <f t="shared" si="7"/>
        <v>-350.3718841150835</v>
      </c>
      <c r="R110" s="17">
        <v>1087</v>
      </c>
      <c r="S110" s="17">
        <f t="shared" si="8"/>
        <v>53</v>
      </c>
      <c r="T110" s="17">
        <f t="shared" si="1"/>
        <v>199.55081461043403</v>
      </c>
      <c r="U110" s="17">
        <v>199.55</v>
      </c>
      <c r="V110" s="17">
        <f t="shared" si="9"/>
        <v>8.1461043401986899E-4</v>
      </c>
      <c r="AK110" s="52">
        <f t="shared" si="2"/>
        <v>0</v>
      </c>
    </row>
    <row r="111" spans="2:37">
      <c r="G111" s="1"/>
      <c r="H111" s="33"/>
      <c r="I111" s="33"/>
      <c r="J111" s="33"/>
      <c r="K111" s="33"/>
      <c r="L111" s="24">
        <f>SUM(L98:L110)</f>
        <v>-105.53197622021378</v>
      </c>
      <c r="M111" s="112"/>
      <c r="N111" s="112"/>
      <c r="O111" s="112"/>
      <c r="P111" s="112"/>
      <c r="Q111" s="34">
        <f>SUM(Q98:Q110)</f>
        <v>-3924.1100828883523</v>
      </c>
      <c r="R111" s="17"/>
      <c r="S111" s="113"/>
      <c r="T111" s="113"/>
      <c r="U111" s="113"/>
      <c r="V111" s="17">
        <f>SUM(V98:V110)</f>
        <v>-800.00481687699562</v>
      </c>
      <c r="AK111" s="52"/>
    </row>
    <row r="112" spans="2:37">
      <c r="G112" s="1"/>
      <c r="H112" s="33"/>
      <c r="I112" s="29" t="s">
        <v>15</v>
      </c>
      <c r="J112" s="7">
        <f>MAX(J99:J110)</f>
        <v>1551.2252003679023</v>
      </c>
      <c r="K112" s="33"/>
      <c r="L112" s="24"/>
      <c r="M112" s="112"/>
      <c r="N112" s="112"/>
      <c r="O112" s="7">
        <f>MAX(O99:O110)</f>
        <v>1479.6881158849164</v>
      </c>
      <c r="P112" s="112"/>
      <c r="Q112" s="34"/>
      <c r="R112" s="17"/>
      <c r="S112" s="113"/>
      <c r="T112" s="7">
        <f>MAX(T99:T110)</f>
        <v>346.0213399999999</v>
      </c>
      <c r="U112" s="113"/>
      <c r="V112" s="17"/>
      <c r="AK112" s="52"/>
    </row>
    <row r="113" spans="3:37">
      <c r="G113" s="1"/>
      <c r="H113" s="33"/>
      <c r="I113" s="29" t="s">
        <v>42</v>
      </c>
      <c r="J113" s="7">
        <f>AVERAGE(J99:J110)</f>
        <v>730.72221626736302</v>
      </c>
      <c r="K113" s="33"/>
      <c r="L113" s="24"/>
      <c r="M113" s="112"/>
      <c r="N113" s="112"/>
      <c r="O113" s="7">
        <f>AVERAGE(O99:O110)</f>
        <v>862.69915975930417</v>
      </c>
      <c r="P113" s="112"/>
      <c r="Q113" s="34"/>
      <c r="R113" s="17"/>
      <c r="S113" s="113"/>
      <c r="T113" s="7">
        <f>AVERAGE(T99:T110)</f>
        <v>163.19126526025036</v>
      </c>
      <c r="U113" s="113"/>
      <c r="V113" s="17"/>
      <c r="AK113" s="52"/>
    </row>
    <row r="114" spans="3:37" ht="18">
      <c r="C114" s="105">
        <v>2023</v>
      </c>
      <c r="G114" s="1"/>
      <c r="H114" s="33"/>
      <c r="I114" s="29" t="s">
        <v>41</v>
      </c>
      <c r="J114" s="7">
        <f>J112+J113</f>
        <v>2281.9474166352652</v>
      </c>
      <c r="K114" s="33"/>
      <c r="L114" s="24"/>
      <c r="M114" s="112"/>
      <c r="N114" s="112"/>
      <c r="O114" s="7">
        <f>O112+O113</f>
        <v>2342.3872756442206</v>
      </c>
      <c r="P114" s="112"/>
      <c r="Q114" s="34"/>
      <c r="R114" s="17"/>
      <c r="S114" s="113"/>
      <c r="T114" s="7">
        <f>T112+T113</f>
        <v>509.21260526025026</v>
      </c>
      <c r="U114" s="113"/>
      <c r="V114" s="17"/>
      <c r="AK114" s="52"/>
    </row>
    <row r="115" spans="3:37">
      <c r="G115" s="1"/>
      <c r="H115" s="33"/>
      <c r="I115" s="32" t="s">
        <v>45</v>
      </c>
      <c r="J115" s="108">
        <f>ROUNDUP(J114/1000,1)*1000</f>
        <v>2300.0000000000005</v>
      </c>
      <c r="K115" s="33"/>
      <c r="L115" s="24"/>
      <c r="M115" s="112"/>
      <c r="N115" s="112"/>
      <c r="O115" s="108">
        <f>ROUNDUP(O114/1000,1)*1000</f>
        <v>2400</v>
      </c>
      <c r="P115" s="112"/>
      <c r="Q115" s="34"/>
      <c r="R115" s="17"/>
      <c r="S115" s="113"/>
      <c r="T115" s="108">
        <f>ROUNDUP(T114/1000,1)*1000</f>
        <v>600</v>
      </c>
      <c r="U115" s="113"/>
      <c r="V115" s="17"/>
      <c r="AK115" s="52"/>
    </row>
    <row r="116" spans="3:37">
      <c r="G116" s="1"/>
      <c r="H116" s="33"/>
      <c r="I116" s="33"/>
      <c r="J116" s="33"/>
      <c r="K116" s="33"/>
      <c r="L116" s="24"/>
      <c r="M116" s="112"/>
      <c r="N116" s="112"/>
      <c r="O116" s="112"/>
      <c r="P116" s="112"/>
      <c r="Q116" s="34"/>
      <c r="R116" s="17"/>
      <c r="S116" s="113"/>
      <c r="T116" s="113"/>
      <c r="U116" s="113"/>
      <c r="V116" s="17"/>
      <c r="AK116" s="52"/>
    </row>
    <row r="117" spans="3:37">
      <c r="G117" s="1"/>
      <c r="H117" s="33"/>
      <c r="I117" s="33"/>
      <c r="J117" s="33"/>
      <c r="K117" s="33"/>
      <c r="L117" s="24"/>
      <c r="M117" s="112"/>
      <c r="N117" s="112"/>
      <c r="O117" s="112"/>
      <c r="P117" s="112"/>
      <c r="Q117" s="34"/>
      <c r="R117" s="17"/>
      <c r="S117" s="113"/>
      <c r="T117" s="113"/>
      <c r="U117" s="113"/>
      <c r="V117" s="17"/>
      <c r="AK117" s="52"/>
    </row>
    <row r="118" spans="3:37">
      <c r="G118" s="1"/>
      <c r="H118" s="33"/>
      <c r="I118" s="33"/>
      <c r="J118" s="33"/>
      <c r="K118" s="33"/>
      <c r="L118" s="24"/>
      <c r="M118" s="112"/>
      <c r="N118" s="112"/>
      <c r="O118" s="112"/>
      <c r="P118" s="112"/>
      <c r="Q118" s="34"/>
      <c r="R118" s="17"/>
      <c r="S118" s="113"/>
      <c r="T118" s="113"/>
      <c r="U118" s="113"/>
      <c r="V118" s="17"/>
      <c r="AK118" s="52"/>
    </row>
    <row r="119" spans="3:37">
      <c r="H119" s="39" t="s">
        <v>21</v>
      </c>
      <c r="I119" s="40"/>
      <c r="J119" s="40"/>
      <c r="K119" s="40"/>
      <c r="L119" s="40"/>
      <c r="M119" s="46" t="s">
        <v>22</v>
      </c>
      <c r="N119" s="46"/>
      <c r="O119" s="46"/>
      <c r="P119" s="46"/>
      <c r="Q119" s="46">
        <v>1200</v>
      </c>
      <c r="R119" s="49" t="s">
        <v>23</v>
      </c>
      <c r="S119" s="49"/>
      <c r="T119" s="49"/>
      <c r="U119" s="49"/>
    </row>
    <row r="120" spans="3:37">
      <c r="H120" s="41" t="s">
        <v>5</v>
      </c>
      <c r="I120" s="41" t="s">
        <v>10</v>
      </c>
      <c r="J120" s="41" t="s">
        <v>11</v>
      </c>
      <c r="K120" s="42" t="s">
        <v>14</v>
      </c>
      <c r="L120" s="42"/>
      <c r="M120" s="47" t="s">
        <v>5</v>
      </c>
      <c r="N120" s="47" t="s">
        <v>10</v>
      </c>
      <c r="O120" s="47" t="s">
        <v>11</v>
      </c>
      <c r="P120" s="48" t="s">
        <v>14</v>
      </c>
      <c r="Q120" s="48"/>
      <c r="R120" s="50" t="s">
        <v>5</v>
      </c>
      <c r="S120" s="50" t="s">
        <v>10</v>
      </c>
      <c r="T120" s="50" t="s">
        <v>11</v>
      </c>
      <c r="U120" s="51" t="s">
        <v>14</v>
      </c>
    </row>
    <row r="121" spans="3:37">
      <c r="H121" s="114"/>
      <c r="I121" s="114"/>
      <c r="J121" s="114"/>
      <c r="K121" s="114"/>
      <c r="L121" s="114"/>
      <c r="M121" s="43"/>
      <c r="N121" s="43"/>
      <c r="O121" s="43"/>
      <c r="P121" s="43"/>
      <c r="Q121" s="43">
        <v>-1200.01</v>
      </c>
      <c r="R121" s="52"/>
      <c r="S121" s="52"/>
      <c r="T121" s="49"/>
      <c r="U121" s="49"/>
    </row>
    <row r="122" spans="3:37">
      <c r="H122" s="39"/>
      <c r="I122" s="39">
        <f t="shared" ref="I122:I134" si="12">D98-I98-N98-S98-N122-S122</f>
        <v>0</v>
      </c>
      <c r="J122" s="39">
        <f t="shared" ref="J122:J134" si="13">I122*$F98</f>
        <v>0</v>
      </c>
      <c r="K122" s="39"/>
      <c r="L122" s="39">
        <v>-14.93</v>
      </c>
      <c r="M122" s="43">
        <v>4039.76</v>
      </c>
      <c r="N122" s="43"/>
      <c r="O122" s="43">
        <f t="shared" ref="O122:O134" si="14">N122*$F98</f>
        <v>0</v>
      </c>
      <c r="P122" s="43"/>
      <c r="Q122" s="43">
        <f t="shared" ref="Q122:Q134" si="15">O122-P122</f>
        <v>0</v>
      </c>
      <c r="R122" s="52">
        <v>7118.223</v>
      </c>
      <c r="S122" s="52"/>
      <c r="T122" s="52">
        <f t="shared" ref="T122:T134" si="16">S122*$F98</f>
        <v>0</v>
      </c>
      <c r="U122" s="52">
        <f>T122</f>
        <v>0</v>
      </c>
    </row>
    <row r="123" spans="3:37">
      <c r="H123" s="39"/>
      <c r="I123" s="39">
        <f t="shared" si="12"/>
        <v>377.57100000000014</v>
      </c>
      <c r="J123" s="39">
        <f t="shared" si="13"/>
        <v>1341.1861307142863</v>
      </c>
      <c r="K123" s="39">
        <v>1459.95</v>
      </c>
      <c r="L123" s="39">
        <f t="shared" ref="L123:L134" si="17">J123-K123</f>
        <v>-118.76386928571378</v>
      </c>
      <c r="M123" s="43">
        <v>4376</v>
      </c>
      <c r="N123" s="43">
        <f t="shared" ref="N123:N134" si="18">M123-M122</f>
        <v>336.23999999999978</v>
      </c>
      <c r="O123" s="43">
        <f t="shared" si="14"/>
        <v>1194.3725142857136</v>
      </c>
      <c r="P123" s="43">
        <v>1194.3699999999999</v>
      </c>
      <c r="Q123" s="43">
        <f t="shared" si="15"/>
        <v>2.5142857136870589E-3</v>
      </c>
      <c r="R123" s="52">
        <v>7167</v>
      </c>
      <c r="S123" s="52">
        <f t="shared" ref="S123:S134" si="19">R123-R122</f>
        <v>48.777000000000044</v>
      </c>
      <c r="T123" s="52">
        <f t="shared" si="16"/>
        <v>173.2628721428573</v>
      </c>
      <c r="U123" s="52">
        <v>173.26</v>
      </c>
    </row>
    <row r="124" spans="3:37">
      <c r="H124" s="39"/>
      <c r="I124" s="39">
        <f t="shared" si="12"/>
        <v>349.19999999999891</v>
      </c>
      <c r="J124" s="39">
        <f t="shared" si="13"/>
        <v>1224.8440065681418</v>
      </c>
      <c r="K124" s="39">
        <v>1347.33</v>
      </c>
      <c r="L124" s="39">
        <f t="shared" si="17"/>
        <v>-122.48599343185811</v>
      </c>
      <c r="M124" s="43">
        <v>4463</v>
      </c>
      <c r="N124" s="43">
        <f t="shared" si="18"/>
        <v>87</v>
      </c>
      <c r="O124" s="43">
        <f t="shared" si="14"/>
        <v>305.15873015873046</v>
      </c>
      <c r="P124" s="43">
        <v>305.16000000000003</v>
      </c>
      <c r="Q124" s="43">
        <f t="shared" si="15"/>
        <v>-1.2698412695613115E-3</v>
      </c>
      <c r="R124" s="52">
        <v>7192</v>
      </c>
      <c r="S124" s="52">
        <f t="shared" si="19"/>
        <v>25</v>
      </c>
      <c r="T124" s="52">
        <f t="shared" si="16"/>
        <v>87.689290275497257</v>
      </c>
      <c r="U124" s="52">
        <f t="shared" ref="U124:U134" si="20">T124</f>
        <v>87.689290275497257</v>
      </c>
    </row>
    <row r="125" spans="3:37">
      <c r="H125" s="39"/>
      <c r="I125" s="39">
        <f t="shared" si="12"/>
        <v>293.57999999999356</v>
      </c>
      <c r="J125" s="39">
        <f t="shared" si="13"/>
        <v>1007.8434577911313</v>
      </c>
      <c r="K125" s="39">
        <v>1108.6300000000001</v>
      </c>
      <c r="L125" s="39">
        <f t="shared" si="17"/>
        <v>-100.78654220886881</v>
      </c>
      <c r="M125" s="43">
        <v>4554</v>
      </c>
      <c r="N125" s="43">
        <f t="shared" si="18"/>
        <v>91</v>
      </c>
      <c r="O125" s="43">
        <f t="shared" si="14"/>
        <v>312.39782907212674</v>
      </c>
      <c r="P125" s="43">
        <v>312.39999999999998</v>
      </c>
      <c r="Q125" s="43">
        <f t="shared" si="15"/>
        <v>-2.1709278732373605E-3</v>
      </c>
      <c r="R125" s="52">
        <v>7208</v>
      </c>
      <c r="S125" s="52">
        <f t="shared" si="19"/>
        <v>16</v>
      </c>
      <c r="T125" s="52">
        <f t="shared" si="16"/>
        <v>54.927090825868433</v>
      </c>
      <c r="U125" s="52">
        <f t="shared" si="20"/>
        <v>54.927090825868433</v>
      </c>
    </row>
    <row r="126" spans="3:37">
      <c r="H126" s="39"/>
      <c r="I126" s="39">
        <f t="shared" si="12"/>
        <v>375.78000000000611</v>
      </c>
      <c r="J126" s="39">
        <f t="shared" si="13"/>
        <v>1303.7367192393235</v>
      </c>
      <c r="K126" s="39">
        <v>1427.94</v>
      </c>
      <c r="L126" s="39">
        <f t="shared" si="17"/>
        <v>-124.20328076067653</v>
      </c>
      <c r="M126" s="43">
        <v>4642</v>
      </c>
      <c r="N126" s="43">
        <f t="shared" si="18"/>
        <v>88</v>
      </c>
      <c r="O126" s="43">
        <f t="shared" si="14"/>
        <v>305.30850841731495</v>
      </c>
      <c r="P126" s="43">
        <v>305.31</v>
      </c>
      <c r="Q126" s="43">
        <f t="shared" si="15"/>
        <v>-1.4915826850483427E-3</v>
      </c>
      <c r="R126" s="52">
        <v>7236</v>
      </c>
      <c r="S126" s="52">
        <f t="shared" si="19"/>
        <v>28</v>
      </c>
      <c r="T126" s="52">
        <f t="shared" si="16"/>
        <v>97.143616314600209</v>
      </c>
      <c r="U126" s="52">
        <f t="shared" si="20"/>
        <v>97.143616314600209</v>
      </c>
    </row>
    <row r="127" spans="3:37">
      <c r="H127" s="39"/>
      <c r="I127" s="39">
        <f t="shared" si="12"/>
        <v>234.02000000000044</v>
      </c>
      <c r="J127" s="39">
        <f t="shared" si="13"/>
        <v>664.04148737517346</v>
      </c>
      <c r="K127" s="39">
        <v>914.05</v>
      </c>
      <c r="L127" s="39">
        <f t="shared" si="17"/>
        <v>-250.00851262482649</v>
      </c>
      <c r="M127" s="43">
        <v>4709</v>
      </c>
      <c r="N127" s="43">
        <f t="shared" si="18"/>
        <v>67</v>
      </c>
      <c r="O127" s="43">
        <f t="shared" si="14"/>
        <v>190.11528781359087</v>
      </c>
      <c r="P127" s="43">
        <v>190.12</v>
      </c>
      <c r="Q127" s="43">
        <f t="shared" si="15"/>
        <v>-4.7121864091366206E-3</v>
      </c>
      <c r="R127" s="52">
        <v>7271</v>
      </c>
      <c r="S127" s="52">
        <f t="shared" si="19"/>
        <v>35</v>
      </c>
      <c r="T127" s="52">
        <f t="shared" si="16"/>
        <v>99.31395632053254</v>
      </c>
      <c r="U127" s="52">
        <f t="shared" si="20"/>
        <v>99.31395632053254</v>
      </c>
    </row>
    <row r="128" spans="3:37">
      <c r="H128" s="39"/>
      <c r="I128" s="39">
        <f t="shared" si="12"/>
        <v>451.099999999994</v>
      </c>
      <c r="J128" s="39">
        <f t="shared" si="13"/>
        <v>1280.3257991604692</v>
      </c>
      <c r="K128" s="39">
        <v>1360.9</v>
      </c>
      <c r="L128" s="39">
        <f t="shared" si="17"/>
        <v>-80.574200839530931</v>
      </c>
      <c r="M128" s="43">
        <v>4818</v>
      </c>
      <c r="N128" s="43">
        <f t="shared" si="18"/>
        <v>109</v>
      </c>
      <c r="O128" s="43">
        <f t="shared" si="14"/>
        <v>309.36712948014406</v>
      </c>
      <c r="P128" s="43">
        <v>309.37</v>
      </c>
      <c r="Q128" s="43">
        <f t="shared" si="15"/>
        <v>-2.8705198559464407E-3</v>
      </c>
      <c r="R128" s="52">
        <v>7283</v>
      </c>
      <c r="S128" s="52">
        <f t="shared" si="19"/>
        <v>12</v>
      </c>
      <c r="T128" s="52">
        <f t="shared" si="16"/>
        <v>34.058766548272743</v>
      </c>
      <c r="U128" s="52">
        <f t="shared" si="20"/>
        <v>34.058766548272743</v>
      </c>
    </row>
    <row r="129" spans="8:21">
      <c r="H129" s="39"/>
      <c r="I129" s="39">
        <f t="shared" si="12"/>
        <v>207.62000000000535</v>
      </c>
      <c r="J129" s="39">
        <f t="shared" si="13"/>
        <v>589.22467863872737</v>
      </c>
      <c r="K129" s="39">
        <v>1095.05</v>
      </c>
      <c r="L129" s="39">
        <f t="shared" si="17"/>
        <v>-505.82532136127259</v>
      </c>
      <c r="M129" s="43">
        <v>4921</v>
      </c>
      <c r="N129" s="43">
        <f t="shared" si="18"/>
        <v>103</v>
      </c>
      <c r="O129" s="43">
        <f t="shared" si="14"/>
        <v>292.31356275786226</v>
      </c>
      <c r="P129" s="43">
        <v>292.29000000000002</v>
      </c>
      <c r="Q129" s="43">
        <f t="shared" si="15"/>
        <v>2.3562757862237049E-2</v>
      </c>
      <c r="R129" s="52">
        <v>7291</v>
      </c>
      <c r="S129" s="52">
        <f t="shared" si="19"/>
        <v>8</v>
      </c>
      <c r="T129" s="52">
        <f t="shared" si="16"/>
        <v>22.703966039445611</v>
      </c>
      <c r="U129" s="52">
        <f t="shared" si="20"/>
        <v>22.703966039445611</v>
      </c>
    </row>
    <row r="130" spans="8:21">
      <c r="H130" s="39"/>
      <c r="I130" s="39">
        <f t="shared" si="12"/>
        <v>382.25999999999203</v>
      </c>
      <c r="J130" s="39">
        <f t="shared" si="13"/>
        <v>1103.1756438706075</v>
      </c>
      <c r="K130" s="39">
        <v>1357.87</v>
      </c>
      <c r="L130" s="39">
        <f t="shared" si="17"/>
        <v>-254.69435612939242</v>
      </c>
      <c r="M130" s="43">
        <v>5000</v>
      </c>
      <c r="N130" s="43">
        <f t="shared" si="18"/>
        <v>79</v>
      </c>
      <c r="O130" s="43">
        <f t="shared" si="14"/>
        <v>227.98847869455295</v>
      </c>
      <c r="P130" s="43">
        <v>227.99</v>
      </c>
      <c r="Q130" s="43">
        <f t="shared" si="15"/>
        <v>-1.5213054470564202E-3</v>
      </c>
      <c r="R130" s="52">
        <v>7302</v>
      </c>
      <c r="S130" s="52">
        <f t="shared" si="19"/>
        <v>11</v>
      </c>
      <c r="T130" s="52">
        <f t="shared" si="16"/>
        <v>31.745231210633957</v>
      </c>
      <c r="U130" s="52">
        <f t="shared" si="20"/>
        <v>31.745231210633957</v>
      </c>
    </row>
    <row r="131" spans="8:21">
      <c r="H131" s="39"/>
      <c r="I131" s="39">
        <f t="shared" si="12"/>
        <v>323.30000000000655</v>
      </c>
      <c r="J131" s="39">
        <f t="shared" si="13"/>
        <v>942.66375091118618</v>
      </c>
      <c r="K131" s="39">
        <v>1137.58</v>
      </c>
      <c r="L131" s="39">
        <f t="shared" si="17"/>
        <v>-194.91624908881374</v>
      </c>
      <c r="M131" s="43">
        <v>5111</v>
      </c>
      <c r="N131" s="43">
        <f t="shared" si="18"/>
        <v>111</v>
      </c>
      <c r="O131" s="43">
        <f t="shared" si="14"/>
        <v>323.64885973133175</v>
      </c>
      <c r="P131" s="43">
        <v>323.64999999999998</v>
      </c>
      <c r="Q131" s="43">
        <f t="shared" si="15"/>
        <v>-1.1402686682231433E-3</v>
      </c>
      <c r="R131" s="52">
        <v>7314</v>
      </c>
      <c r="S131" s="52">
        <f t="shared" si="19"/>
        <v>12</v>
      </c>
      <c r="T131" s="52">
        <f t="shared" si="16"/>
        <v>34.989065916900728</v>
      </c>
      <c r="U131" s="52">
        <f t="shared" si="20"/>
        <v>34.989065916900728</v>
      </c>
    </row>
    <row r="132" spans="8:21">
      <c r="H132" s="39"/>
      <c r="I132" s="39">
        <f t="shared" si="12"/>
        <v>361.53999999999542</v>
      </c>
      <c r="J132" s="39">
        <f t="shared" si="13"/>
        <v>1072.2364243943105</v>
      </c>
      <c r="K132" s="39">
        <v>1293.94</v>
      </c>
      <c r="L132" s="39">
        <f t="shared" si="17"/>
        <v>-221.70357560568959</v>
      </c>
      <c r="M132" s="43">
        <v>5208</v>
      </c>
      <c r="N132" s="43">
        <f t="shared" si="18"/>
        <v>97</v>
      </c>
      <c r="O132" s="43">
        <f t="shared" si="14"/>
        <v>287.6775271512127</v>
      </c>
      <c r="P132" s="43">
        <v>287.68</v>
      </c>
      <c r="Q132" s="43">
        <f t="shared" si="15"/>
        <v>-2.4728487873062477E-3</v>
      </c>
      <c r="R132" s="52">
        <v>7322</v>
      </c>
      <c r="S132" s="52">
        <f t="shared" si="19"/>
        <v>8</v>
      </c>
      <c r="T132" s="52">
        <f t="shared" si="16"/>
        <v>23.725981620718574</v>
      </c>
      <c r="U132" s="52">
        <f t="shared" si="20"/>
        <v>23.725981620718574</v>
      </c>
    </row>
    <row r="133" spans="8:21">
      <c r="H133" s="39"/>
      <c r="I133" s="39">
        <f t="shared" si="12"/>
        <v>263.48000000000502</v>
      </c>
      <c r="J133" s="39">
        <f t="shared" si="13"/>
        <v>912.12424077600713</v>
      </c>
      <c r="K133" s="39">
        <v>1112.79</v>
      </c>
      <c r="L133" s="39">
        <f t="shared" si="17"/>
        <v>-200.66575922399284</v>
      </c>
      <c r="M133" s="43">
        <v>5306</v>
      </c>
      <c r="N133" s="43">
        <f t="shared" si="18"/>
        <v>98</v>
      </c>
      <c r="O133" s="43">
        <f t="shared" si="14"/>
        <v>339.25981325355622</v>
      </c>
      <c r="P133" s="43">
        <v>339.26</v>
      </c>
      <c r="Q133" s="43">
        <f t="shared" si="15"/>
        <v>-1.8674644377369987E-4</v>
      </c>
      <c r="R133" s="52">
        <v>7334</v>
      </c>
      <c r="S133" s="52">
        <f t="shared" si="19"/>
        <v>12</v>
      </c>
      <c r="T133" s="52">
        <f t="shared" si="16"/>
        <v>41.542017949415047</v>
      </c>
      <c r="U133" s="52">
        <f t="shared" si="20"/>
        <v>41.542017949415047</v>
      </c>
    </row>
    <row r="134" spans="8:21">
      <c r="H134" s="39"/>
      <c r="I134" s="39">
        <f t="shared" si="12"/>
        <v>203.7599999999893</v>
      </c>
      <c r="J134" s="39">
        <f t="shared" si="13"/>
        <v>767.17875443433786</v>
      </c>
      <c r="K134" s="39">
        <v>1702.62</v>
      </c>
      <c r="L134" s="39">
        <f t="shared" si="17"/>
        <v>-935.44124556566203</v>
      </c>
      <c r="M134" s="43">
        <v>5428</v>
      </c>
      <c r="N134" s="43">
        <f t="shared" si="18"/>
        <v>122</v>
      </c>
      <c r="O134" s="43">
        <f t="shared" si="14"/>
        <v>459.34338457496136</v>
      </c>
      <c r="P134" s="43">
        <v>459.34</v>
      </c>
      <c r="Q134" s="43">
        <f t="shared" si="15"/>
        <v>3.3845749613874432E-3</v>
      </c>
      <c r="R134" s="52">
        <v>7368</v>
      </c>
      <c r="S134" s="52">
        <f t="shared" si="19"/>
        <v>34</v>
      </c>
      <c r="T134" s="52">
        <f t="shared" si="16"/>
        <v>128.01373012744824</v>
      </c>
      <c r="U134" s="52">
        <f t="shared" si="20"/>
        <v>128.01373012744824</v>
      </c>
    </row>
    <row r="135" spans="8:21">
      <c r="H135" s="114"/>
      <c r="I135" s="114"/>
      <c r="J135" s="39"/>
      <c r="K135" s="114"/>
      <c r="L135" s="39">
        <f>SUM(L122:L134)</f>
        <v>-3124.9989061262982</v>
      </c>
      <c r="M135" s="43"/>
      <c r="N135" s="115"/>
      <c r="O135" s="43"/>
      <c r="P135" s="115"/>
      <c r="Q135" s="39">
        <f>SUM(Q121:Q134)</f>
        <v>-1199.9983746089024</v>
      </c>
      <c r="R135" s="116"/>
      <c r="S135" s="116"/>
      <c r="T135" s="52"/>
      <c r="U135" s="116"/>
    </row>
    <row r="136" spans="8:21">
      <c r="H136" s="114"/>
      <c r="I136" s="114"/>
      <c r="J136" s="7">
        <f>MAX(J123:J134)</f>
        <v>1341.1861307142863</v>
      </c>
      <c r="K136" s="114"/>
      <c r="L136" s="39"/>
      <c r="M136" s="43"/>
      <c r="N136" s="115"/>
      <c r="O136" s="7">
        <f>MAX(O123:O134)</f>
        <v>1194.3725142857136</v>
      </c>
      <c r="P136" s="115"/>
      <c r="Q136" s="39"/>
      <c r="R136" s="116"/>
      <c r="S136" s="116"/>
      <c r="T136" s="7">
        <f>MAX(T123:T134)</f>
        <v>173.2628721428573</v>
      </c>
      <c r="U136" s="116"/>
    </row>
    <row r="137" spans="8:21">
      <c r="H137" s="114"/>
      <c r="I137" s="114"/>
      <c r="J137" s="7">
        <f>AVERAGE(J123:J134)</f>
        <v>1017.3817578228085</v>
      </c>
      <c r="K137" s="114"/>
      <c r="L137" s="39"/>
      <c r="M137" s="43"/>
      <c r="N137" s="115"/>
      <c r="O137" s="7">
        <f>AVERAGE(O123:O134)</f>
        <v>378.91263544925823</v>
      </c>
      <c r="P137" s="115"/>
      <c r="Q137" s="39"/>
      <c r="R137" s="116"/>
      <c r="S137" s="116"/>
      <c r="T137" s="7">
        <f>AVERAGE(T123:T134)</f>
        <v>69.092965441015892</v>
      </c>
      <c r="U137" s="116"/>
    </row>
    <row r="138" spans="8:21">
      <c r="H138" s="114"/>
      <c r="I138" s="114"/>
      <c r="J138" s="7">
        <f>J136+J137</f>
        <v>2358.5678885370949</v>
      </c>
      <c r="K138" s="114"/>
      <c r="L138" s="39"/>
      <c r="M138" s="43"/>
      <c r="N138" s="115"/>
      <c r="O138" s="7">
        <f>O136+O137</f>
        <v>1573.2851497349718</v>
      </c>
      <c r="P138" s="115"/>
      <c r="Q138" s="39"/>
      <c r="R138" s="116"/>
      <c r="S138" s="116"/>
      <c r="T138" s="7">
        <f>T136+T137</f>
        <v>242.35583758387321</v>
      </c>
      <c r="U138" s="116"/>
    </row>
    <row r="139" spans="8:21">
      <c r="H139" s="114"/>
      <c r="I139" s="114"/>
      <c r="J139" s="108">
        <f>ROUNDUP(J138/1000,1)*1000</f>
        <v>2400</v>
      </c>
      <c r="K139" s="114"/>
      <c r="L139" s="39"/>
      <c r="M139" s="43"/>
      <c r="N139" s="115"/>
      <c r="O139" s="108">
        <f>ROUNDUP(O138/1000,1)*1000</f>
        <v>1600</v>
      </c>
      <c r="P139" s="115"/>
      <c r="Q139" s="39"/>
      <c r="R139" s="116"/>
      <c r="S139" s="116"/>
      <c r="T139" s="108">
        <f>ROUNDUP(T138/1000,1)*1000</f>
        <v>300.00000000000006</v>
      </c>
      <c r="U139" s="116"/>
    </row>
    <row r="140" spans="8:21">
      <c r="H140" s="114"/>
      <c r="I140" s="114"/>
      <c r="J140" s="39"/>
      <c r="K140" s="114"/>
      <c r="L140" s="39"/>
      <c r="M140" s="43"/>
      <c r="N140" s="115"/>
      <c r="O140" s="43"/>
      <c r="P140" s="115"/>
      <c r="Q140" s="39"/>
      <c r="R140" s="116"/>
      <c r="S140" s="116"/>
      <c r="T140" s="52"/>
      <c r="U140" s="116"/>
    </row>
    <row r="141" spans="8:21">
      <c r="H141" s="114"/>
      <c r="I141" s="114"/>
      <c r="J141" s="39"/>
      <c r="K141" s="114"/>
      <c r="L141" s="39"/>
      <c r="M141" s="43"/>
      <c r="N141" s="115"/>
      <c r="O141" s="43"/>
      <c r="P141" s="115"/>
      <c r="Q141" s="39"/>
      <c r="R141" s="116"/>
      <c r="S141" s="116"/>
      <c r="T141" s="52"/>
      <c r="U141" s="116"/>
    </row>
    <row r="142" spans="8:21">
      <c r="H142" s="114"/>
      <c r="I142" s="114"/>
      <c r="J142" s="39"/>
      <c r="K142" s="114"/>
      <c r="L142" s="39"/>
      <c r="M142" s="43"/>
      <c r="N142" s="115"/>
      <c r="O142" s="43"/>
      <c r="P142" s="115"/>
      <c r="Q142" s="39"/>
      <c r="R142" s="116"/>
      <c r="S142" s="116"/>
      <c r="T142" s="52"/>
      <c r="U142" s="116"/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1366.6969999999999</v>
      </c>
      <c r="C3" s="59">
        <v>1346.4010000000001</v>
      </c>
      <c r="D3" s="60">
        <f>B3-C3</f>
        <v>20.295999999999822</v>
      </c>
      <c r="E3" s="60">
        <f>D3*$E$1</f>
        <v>1217.7599999999893</v>
      </c>
    </row>
    <row r="4" spans="2:6">
      <c r="B4" s="61" t="s">
        <v>27</v>
      </c>
      <c r="C4" s="62">
        <v>4585</v>
      </c>
      <c r="D4" s="61" t="s">
        <v>28</v>
      </c>
      <c r="E4" s="63">
        <f>C4/E3</f>
        <v>3.7651097096308308</v>
      </c>
      <c r="F4" s="64"/>
    </row>
    <row r="5" spans="2:6">
      <c r="B5" s="65" t="s">
        <v>29</v>
      </c>
      <c r="C5" s="66">
        <f>B7+D7</f>
        <v>119.73048876626041</v>
      </c>
      <c r="D5" s="67"/>
      <c r="E5" s="68" t="s">
        <v>30</v>
      </c>
    </row>
    <row r="6" spans="2:6">
      <c r="B6" s="69">
        <v>121642</v>
      </c>
      <c r="C6" s="70">
        <v>121430</v>
      </c>
      <c r="D6" s="70">
        <f>B6-C6</f>
        <v>212</v>
      </c>
      <c r="E6" s="71">
        <f>D6*$E$4</f>
        <v>798.20325844173612</v>
      </c>
      <c r="F6" s="64"/>
    </row>
    <row r="7" spans="2:6">
      <c r="B7" s="72"/>
      <c r="C7" s="73">
        <v>0.15</v>
      </c>
      <c r="D7" s="64">
        <f>(D6*$E$4*C7)</f>
        <v>119.73048876626041</v>
      </c>
      <c r="E7" s="74">
        <f>D7+E6</f>
        <v>917.93374720799648</v>
      </c>
      <c r="F7" s="64"/>
    </row>
    <row r="8" spans="2:6">
      <c r="B8" s="75"/>
      <c r="D8" s="76"/>
      <c r="E8" s="77">
        <f>E7+C9</f>
        <v>947.93374720799648</v>
      </c>
    </row>
    <row r="9" spans="2:6">
      <c r="B9" s="78"/>
      <c r="C9" s="79">
        <v>30</v>
      </c>
      <c r="D9" s="80"/>
      <c r="E9" s="81">
        <f>D6/$E$3</f>
        <v>0.17409013270266871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1622.0797693558786</v>
      </c>
      <c r="D11" s="67">
        <v>0</v>
      </c>
      <c r="E11" s="68" t="s">
        <v>30</v>
      </c>
    </row>
    <row r="12" spans="2:6">
      <c r="B12" s="69">
        <v>4737</v>
      </c>
      <c r="C12" s="70">
        <v>4344</v>
      </c>
      <c r="D12" s="70">
        <f>B12-C12</f>
        <v>393</v>
      </c>
      <c r="E12" s="74">
        <f>D12*$E$4</f>
        <v>1479.6881158849164</v>
      </c>
    </row>
    <row r="13" spans="2:6">
      <c r="B13" s="72">
        <f>'07-22'!C11</f>
        <v>1321.7030818312405</v>
      </c>
      <c r="C13" s="73">
        <v>0.20300000000000001</v>
      </c>
      <c r="D13" s="64">
        <f>(D12*$E$4*C13)</f>
        <v>300.37668752463804</v>
      </c>
      <c r="E13" s="74">
        <f>D13+E12</f>
        <v>1780.0648034095545</v>
      </c>
    </row>
    <row r="14" spans="2:6">
      <c r="B14" s="75"/>
      <c r="C14" s="86"/>
      <c r="D14" s="76"/>
      <c r="E14" s="77">
        <f>E13+C15</f>
        <v>1830.0648034095545</v>
      </c>
    </row>
    <row r="15" spans="2:6">
      <c r="B15" s="78"/>
      <c r="C15" s="79">
        <v>50</v>
      </c>
      <c r="D15" s="80"/>
      <c r="E15" s="81">
        <f>D12/$E$3</f>
        <v>0.32272368939692836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1087</v>
      </c>
      <c r="C18" s="89">
        <v>1034</v>
      </c>
      <c r="D18" s="89">
        <f>B18-C18</f>
        <v>53</v>
      </c>
      <c r="E18" s="90">
        <f>D18*$E$4</f>
        <v>199.55081461043403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199.55081461043403</v>
      </c>
    </row>
    <row r="20" spans="2:5">
      <c r="B20" s="75"/>
      <c r="D20" s="76"/>
      <c r="E20" s="77">
        <f>E19+C21</f>
        <v>209.55081461043403</v>
      </c>
    </row>
    <row r="21" spans="2:5">
      <c r="B21" s="78"/>
      <c r="C21" s="79">
        <v>10</v>
      </c>
      <c r="D21" s="80"/>
      <c r="E21" s="81">
        <f>D18/$E$3</f>
        <v>4.3522533175667177E-2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432.52304285179946</v>
      </c>
      <c r="D23" s="67">
        <v>0</v>
      </c>
      <c r="E23" s="68" t="s">
        <v>30</v>
      </c>
    </row>
    <row r="24" spans="2:5">
      <c r="B24" s="92">
        <f>E3-D6-D12-D18-D36-D30</f>
        <v>403.7599999999893</v>
      </c>
      <c r="C24" s="70"/>
      <c r="D24" s="70">
        <f>B24-C24</f>
        <v>403.7599999999893</v>
      </c>
      <c r="E24" s="93">
        <f>D24*$E$4</f>
        <v>1520.200696360504</v>
      </c>
    </row>
    <row r="25" spans="2:5">
      <c r="B25" s="72">
        <f>'06-22'!C23</f>
        <v>250.09895928853902</v>
      </c>
      <c r="C25" s="73">
        <v>0.12</v>
      </c>
      <c r="D25" s="94">
        <f>(D24*$E$4*C25)</f>
        <v>182.42408356326047</v>
      </c>
      <c r="E25" s="74">
        <f>D25+E24</f>
        <v>1702.6247799237644</v>
      </c>
    </row>
    <row r="26" spans="2:5">
      <c r="B26" s="75"/>
      <c r="C26" s="16"/>
      <c r="D26" s="95"/>
      <c r="E26" s="77">
        <f>E25+C27</f>
        <v>1732.6247799237644</v>
      </c>
    </row>
    <row r="27" spans="2:5">
      <c r="B27" s="78"/>
      <c r="C27" s="79">
        <v>30</v>
      </c>
      <c r="D27" s="80"/>
      <c r="E27" s="81">
        <f>D24/$E$3</f>
        <v>0.33155958481145126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5428</v>
      </c>
      <c r="C30" s="70">
        <v>5306</v>
      </c>
      <c r="D30" s="70">
        <f>B30-C30</f>
        <v>122</v>
      </c>
      <c r="E30" s="93">
        <f>D30*$E$4</f>
        <v>459.34338457496136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459.34338457496136</v>
      </c>
    </row>
    <row r="32" spans="2:5">
      <c r="B32" s="75"/>
      <c r="D32" s="76"/>
      <c r="E32" s="77">
        <f>E31+C33</f>
        <v>499.34338457496136</v>
      </c>
    </row>
    <row r="33" spans="2:5">
      <c r="B33" s="78">
        <f>C33-D33</f>
        <v>40</v>
      </c>
      <c r="C33" s="79">
        <v>40</v>
      </c>
      <c r="D33" s="80"/>
      <c r="E33" s="81">
        <f>D30/$E$3</f>
        <v>0.10018394429115841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7368</v>
      </c>
      <c r="C36" s="89">
        <v>7334</v>
      </c>
      <c r="D36" s="89">
        <f>B36-C36+J39</f>
        <v>34</v>
      </c>
      <c r="E36" s="97">
        <f>D36*$E$4</f>
        <v>128.01373012744824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138.01373012744824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1217.7599999999893</v>
      </c>
      <c r="D40" s="103">
        <f>E8+E14+E20+E26+E32+E37</f>
        <v>5357.5312598541586</v>
      </c>
      <c r="E40" s="7">
        <f>E36+E30+E24+E18+E12+E6</f>
        <v>4585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1346.4010000000001</v>
      </c>
      <c r="C3" s="59">
        <v>1331.693</v>
      </c>
      <c r="D3" s="60">
        <f>B3-C3</f>
        <v>14.708000000000084</v>
      </c>
      <c r="E3" s="60">
        <f>D3*$E$1</f>
        <v>882.48000000000502</v>
      </c>
    </row>
    <row r="4" spans="2:6">
      <c r="B4" s="61" t="s">
        <v>27</v>
      </c>
      <c r="C4" s="62">
        <v>3055</v>
      </c>
      <c r="D4" s="61" t="s">
        <v>28</v>
      </c>
      <c r="E4" s="63">
        <f>C4/E3</f>
        <v>3.4618348291179206</v>
      </c>
      <c r="F4" s="64"/>
    </row>
    <row r="5" spans="2:6">
      <c r="B5" s="65" t="s">
        <v>29</v>
      </c>
      <c r="C5" s="66">
        <f>B7+D7</f>
        <v>120.3887680174048</v>
      </c>
      <c r="D5" s="67"/>
      <c r="E5" s="68" t="s">
        <v>30</v>
      </c>
    </row>
    <row r="6" spans="2:6">
      <c r="B6" s="69">
        <v>121430</v>
      </c>
      <c r="C6" s="70">
        <v>121292</v>
      </c>
      <c r="D6" s="70">
        <f>B6-C6</f>
        <v>138</v>
      </c>
      <c r="E6" s="71">
        <f>D6*$E$4</f>
        <v>477.73320641827303</v>
      </c>
      <c r="F6" s="64"/>
    </row>
    <row r="7" spans="2:6">
      <c r="B7" s="72"/>
      <c r="C7" s="73">
        <v>0.252</v>
      </c>
      <c r="D7" s="64">
        <f>(D6*$E$4*C7)</f>
        <v>120.3887680174048</v>
      </c>
      <c r="E7" s="74">
        <f>D7+E6</f>
        <v>598.12197443567788</v>
      </c>
      <c r="F7" s="64"/>
    </row>
    <row r="8" spans="2:6">
      <c r="B8" s="75"/>
      <c r="D8" s="76"/>
      <c r="E8" s="77">
        <f>E7+C9</f>
        <v>628.12197443567788</v>
      </c>
    </row>
    <row r="9" spans="2:6">
      <c r="B9" s="78"/>
      <c r="C9" s="79">
        <v>30</v>
      </c>
      <c r="D9" s="80"/>
      <c r="E9" s="81">
        <f>D6/$E$3</f>
        <v>0.15637748164264256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1672.4977287354177</v>
      </c>
      <c r="D11" s="67">
        <v>0</v>
      </c>
      <c r="E11" s="68" t="s">
        <v>30</v>
      </c>
    </row>
    <row r="12" spans="2:6">
      <c r="B12" s="69">
        <v>4344</v>
      </c>
      <c r="C12" s="70">
        <v>4015</v>
      </c>
      <c r="D12" s="70">
        <f>B12-C12</f>
        <v>329</v>
      </c>
      <c r="E12" s="74">
        <f>D12*$E$4</f>
        <v>1138.9436587797959</v>
      </c>
    </row>
    <row r="13" spans="2:6">
      <c r="B13" s="72">
        <f>'07-22'!C11</f>
        <v>1321.7030818312405</v>
      </c>
      <c r="C13" s="73">
        <v>0.308</v>
      </c>
      <c r="D13" s="64">
        <f>(D12*$E$4*C13)</f>
        <v>350.79464690417711</v>
      </c>
      <c r="E13" s="74">
        <f>D13+E12</f>
        <v>1489.7383056839731</v>
      </c>
    </row>
    <row r="14" spans="2:6">
      <c r="B14" s="75"/>
      <c r="C14" s="86"/>
      <c r="D14" s="76"/>
      <c r="E14" s="77">
        <f>E13+C15</f>
        <v>1539.7383056839731</v>
      </c>
    </row>
    <row r="15" spans="2:6">
      <c r="B15" s="78"/>
      <c r="C15" s="79">
        <v>50</v>
      </c>
      <c r="D15" s="80"/>
      <c r="E15" s="81">
        <f>D12/$E$3</f>
        <v>0.37281298159731452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1034</v>
      </c>
      <c r="C18" s="89">
        <v>992</v>
      </c>
      <c r="D18" s="89">
        <f>B18-C18</f>
        <v>42</v>
      </c>
      <c r="E18" s="90">
        <f>D18*$E$4</f>
        <v>145.39706282295268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145.39706282295268</v>
      </c>
    </row>
    <row r="20" spans="2:5">
      <c r="B20" s="75"/>
      <c r="D20" s="76"/>
      <c r="E20" s="77">
        <f>E19+C21</f>
        <v>165.39706282295268</v>
      </c>
    </row>
    <row r="21" spans="2:5">
      <c r="B21" s="78"/>
      <c r="C21" s="79">
        <v>20</v>
      </c>
      <c r="D21" s="80"/>
      <c r="E21" s="81">
        <f>D18/$E$3</f>
        <v>4.7593146586891219E-2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450.76629225926058</v>
      </c>
      <c r="D23" s="67">
        <v>0</v>
      </c>
      <c r="E23" s="68" t="s">
        <v>30</v>
      </c>
    </row>
    <row r="24" spans="2:5">
      <c r="B24" s="92">
        <f>E3-D6-D12-D18-D36-D30</f>
        <v>263.48000000000502</v>
      </c>
      <c r="C24" s="70"/>
      <c r="D24" s="70">
        <f>B24-C24</f>
        <v>263.48000000000502</v>
      </c>
      <c r="E24" s="93">
        <f>D24*$E$4</f>
        <v>912.12424077600713</v>
      </c>
    </row>
    <row r="25" spans="2:5">
      <c r="B25" s="72">
        <f>'06-22'!C23</f>
        <v>250.09895928853902</v>
      </c>
      <c r="C25" s="73">
        <v>0.22</v>
      </c>
      <c r="D25" s="94">
        <f>(D24*$E$4*C25)</f>
        <v>200.66733297072156</v>
      </c>
      <c r="E25" s="74">
        <f>D25+E24</f>
        <v>1112.7915737467288</v>
      </c>
    </row>
    <row r="26" spans="2:5">
      <c r="B26" s="75"/>
      <c r="C26" s="16"/>
      <c r="D26" s="95"/>
      <c r="E26" s="77">
        <f>E25+C27</f>
        <v>1142.7915737467288</v>
      </c>
    </row>
    <row r="27" spans="2:5">
      <c r="B27" s="78"/>
      <c r="C27" s="79">
        <v>30</v>
      </c>
      <c r="D27" s="80"/>
      <c r="E27" s="81">
        <f>D24/$E$3</f>
        <v>0.29856767292176994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5306</v>
      </c>
      <c r="C30" s="70">
        <v>5208</v>
      </c>
      <c r="D30" s="70">
        <f>B30-C30</f>
        <v>98</v>
      </c>
      <c r="E30" s="93">
        <f>D30*$E$4</f>
        <v>339.25981325355622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339.25981325355622</v>
      </c>
    </row>
    <row r="32" spans="2:5">
      <c r="B32" s="75"/>
      <c r="D32" s="76"/>
      <c r="E32" s="77">
        <f>E31+C33</f>
        <v>379.25981325355622</v>
      </c>
    </row>
    <row r="33" spans="2:5">
      <c r="B33" s="78">
        <f>C33-D33</f>
        <v>40</v>
      </c>
      <c r="C33" s="79">
        <v>40</v>
      </c>
      <c r="D33" s="80"/>
      <c r="E33" s="81">
        <f>D30/$E$3</f>
        <v>0.11105067536941284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7334</v>
      </c>
      <c r="C36" s="89">
        <v>7322</v>
      </c>
      <c r="D36" s="89">
        <f>B36-C36+J39</f>
        <v>12</v>
      </c>
      <c r="E36" s="97">
        <f>D36*$E$4</f>
        <v>41.542017949415047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51.542017949415047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180</v>
      </c>
      <c r="C40" s="102">
        <f>D6+D12+D18+D24+D30+D36</f>
        <v>882.48000000000502</v>
      </c>
      <c r="D40" s="103">
        <f>E8+E14+E20+E26+E32+E37</f>
        <v>3906.8507478923038</v>
      </c>
      <c r="E40" s="7">
        <f>E36+E30+E24+E18+E12+E6</f>
        <v>3055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45168</v>
      </c>
      <c r="C1" s="54">
        <v>45199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1331.693</v>
      </c>
      <c r="C3" s="59">
        <v>1315.3340000000001</v>
      </c>
      <c r="D3" s="60">
        <f>B3-C3</f>
        <v>16.358999999999924</v>
      </c>
      <c r="E3" s="60">
        <f>D3*$E$1</f>
        <v>981.53999999999542</v>
      </c>
    </row>
    <row r="4" spans="2:6">
      <c r="B4" s="61" t="s">
        <v>27</v>
      </c>
      <c r="C4" s="62">
        <v>2911</v>
      </c>
      <c r="D4" s="61" t="s">
        <v>28</v>
      </c>
      <c r="E4" s="63">
        <f>C4/E3</f>
        <v>2.9657477025898218</v>
      </c>
      <c r="F4" s="64"/>
    </row>
    <row r="5" spans="2:6">
      <c r="B5" s="65" t="s">
        <v>29</v>
      </c>
      <c r="C5" s="66">
        <f>B7+D7</f>
        <v>109.73266499582341</v>
      </c>
      <c r="D5" s="67"/>
      <c r="E5" s="68" t="s">
        <v>30</v>
      </c>
    </row>
    <row r="6" spans="2:6">
      <c r="B6" s="69">
        <v>121292</v>
      </c>
      <c r="C6" s="70">
        <v>121144</v>
      </c>
      <c r="D6" s="70">
        <f>B6-C6</f>
        <v>148</v>
      </c>
      <c r="E6" s="71">
        <f>D6*$E$4</f>
        <v>438.93065998329365</v>
      </c>
      <c r="F6" s="64"/>
    </row>
    <row r="7" spans="2:6">
      <c r="B7" s="72"/>
      <c r="C7" s="73">
        <v>0.25</v>
      </c>
      <c r="D7" s="64">
        <f>(D6*$E$4*C7)</f>
        <v>109.73266499582341</v>
      </c>
      <c r="E7" s="74">
        <f>D7+E6</f>
        <v>548.66332497911708</v>
      </c>
      <c r="F7" s="64"/>
    </row>
    <row r="8" spans="2:6">
      <c r="B8" s="75"/>
      <c r="D8" s="76"/>
      <c r="E8" s="77">
        <f>E7+C9</f>
        <v>578.66332497911708</v>
      </c>
    </row>
    <row r="9" spans="2:6">
      <c r="B9" s="78"/>
      <c r="C9" s="79">
        <v>30</v>
      </c>
      <c r="D9" s="80"/>
      <c r="E9" s="81">
        <f>D6/$E$3</f>
        <v>0.15078346272184598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1576.3421795756026</v>
      </c>
      <c r="D11" s="67">
        <v>0</v>
      </c>
      <c r="E11" s="68" t="s">
        <v>30</v>
      </c>
    </row>
    <row r="12" spans="2:6">
      <c r="B12" s="69">
        <v>4015</v>
      </c>
      <c r="C12" s="70">
        <v>3697</v>
      </c>
      <c r="D12" s="70">
        <f>B12-C12</f>
        <v>318</v>
      </c>
      <c r="E12" s="74">
        <f>D12*$E$4</f>
        <v>943.10776942356335</v>
      </c>
    </row>
    <row r="13" spans="2:6">
      <c r="B13" s="72">
        <f>'07-22'!C11</f>
        <v>1321.7030818312405</v>
      </c>
      <c r="C13" s="73">
        <v>0.27</v>
      </c>
      <c r="D13" s="64">
        <f>(D12*$E$4*C13)</f>
        <v>254.63909774436212</v>
      </c>
      <c r="E13" s="74">
        <f>D13+E12</f>
        <v>1197.7468671679255</v>
      </c>
    </row>
    <row r="14" spans="2:6">
      <c r="B14" s="75"/>
      <c r="C14" s="86"/>
      <c r="D14" s="76"/>
      <c r="E14" s="77">
        <f>E13+C15</f>
        <v>1237.7468671679255</v>
      </c>
    </row>
    <row r="15" spans="2:6">
      <c r="B15" s="78"/>
      <c r="C15" s="79">
        <v>40</v>
      </c>
      <c r="D15" s="80"/>
      <c r="E15" s="81">
        <f>D12/$E$3</f>
        <v>0.32398068341585823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992</v>
      </c>
      <c r="C18" s="89">
        <v>943</v>
      </c>
      <c r="D18" s="89">
        <f>B18-C18</f>
        <v>49</v>
      </c>
      <c r="E18" s="90">
        <f>D18*$E$4</f>
        <v>145.32163742690128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145.32163742690128</v>
      </c>
    </row>
    <row r="20" spans="2:5">
      <c r="B20" s="75"/>
      <c r="D20" s="76"/>
      <c r="E20" s="77">
        <f>E19+C21</f>
        <v>155.32163742690128</v>
      </c>
    </row>
    <row r="21" spans="2:5">
      <c r="B21" s="78"/>
      <c r="C21" s="79">
        <v>10</v>
      </c>
      <c r="D21" s="80"/>
      <c r="E21" s="81">
        <f>D18/$E$3</f>
        <v>4.992155184709765E-2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471.80528476055059</v>
      </c>
      <c r="D23" s="67">
        <v>0</v>
      </c>
      <c r="E23" s="68" t="s">
        <v>30</v>
      </c>
    </row>
    <row r="24" spans="2:5">
      <c r="B24" s="92">
        <f>E3-D6-D12-D18-D36-D30</f>
        <v>361.53999999999542</v>
      </c>
      <c r="C24" s="70"/>
      <c r="D24" s="70">
        <f>B24-C24</f>
        <v>361.53999999999542</v>
      </c>
      <c r="E24" s="93">
        <f>D24*$E$4</f>
        <v>1072.2364243943105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221.70632547201157</v>
      </c>
      <c r="E25" s="74">
        <f>D25+E24</f>
        <v>1293.9427498663219</v>
      </c>
    </row>
    <row r="26" spans="2:5">
      <c r="B26" s="75"/>
      <c r="C26" s="16"/>
      <c r="D26" s="95"/>
      <c r="E26" s="77">
        <f>E25+C27</f>
        <v>1313.9427498663219</v>
      </c>
    </row>
    <row r="27" spans="2:5">
      <c r="B27" s="78"/>
      <c r="C27" s="79">
        <v>20</v>
      </c>
      <c r="D27" s="80"/>
      <c r="E27" s="81">
        <f>D24/$E$3</f>
        <v>0.36833954805713176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5208</v>
      </c>
      <c r="C30" s="70">
        <v>5111</v>
      </c>
      <c r="D30" s="70">
        <f>B30-C30</f>
        <v>97</v>
      </c>
      <c r="E30" s="93">
        <f>D30*$E$4</f>
        <v>287.6775271512127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287.6775271512127</v>
      </c>
    </row>
    <row r="32" spans="2:5">
      <c r="B32" s="75"/>
      <c r="D32" s="76"/>
      <c r="E32" s="77">
        <f>E31+C33</f>
        <v>317.6775271512127</v>
      </c>
    </row>
    <row r="33" spans="2:5">
      <c r="B33" s="78">
        <f>C33-D33</f>
        <v>30</v>
      </c>
      <c r="C33" s="79">
        <v>30</v>
      </c>
      <c r="D33" s="80"/>
      <c r="E33" s="81">
        <f>D30/$E$3</f>
        <v>9.8824296513642287E-2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7322</v>
      </c>
      <c r="C36" s="89">
        <v>7314</v>
      </c>
      <c r="D36" s="89">
        <f>B36-C36+J39</f>
        <v>8</v>
      </c>
      <c r="E36" s="97">
        <f>D36*$E$4</f>
        <v>23.725981620718574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33.725981620718571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981.53999999999542</v>
      </c>
      <c r="D40" s="103">
        <f>E8+E14+E20+E26+E32+E37</f>
        <v>3637.0780882121971</v>
      </c>
      <c r="E40" s="7">
        <f>E36+E30+E24+E18+E12+E6</f>
        <v>2911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1315.3340000000001</v>
      </c>
      <c r="C3" s="59">
        <v>1299.329</v>
      </c>
      <c r="D3" s="60">
        <f>B3-C3</f>
        <v>16.005000000000109</v>
      </c>
      <c r="E3" s="60">
        <f>D3*$E$1</f>
        <v>960.30000000000655</v>
      </c>
    </row>
    <row r="4" spans="2:6">
      <c r="B4" s="61" t="s">
        <v>27</v>
      </c>
      <c r="C4" s="62">
        <v>2800</v>
      </c>
      <c r="D4" s="61" t="s">
        <v>28</v>
      </c>
      <c r="E4" s="63">
        <f>C4/E3</f>
        <v>2.9157554930750607</v>
      </c>
      <c r="F4" s="64"/>
    </row>
    <row r="5" spans="2:6">
      <c r="B5" s="65" t="s">
        <v>29</v>
      </c>
      <c r="C5" s="66">
        <f>B7+D7</f>
        <v>107.29980214516223</v>
      </c>
      <c r="D5" s="67"/>
      <c r="E5" s="68" t="s">
        <v>30</v>
      </c>
    </row>
    <row r="6" spans="2:6">
      <c r="B6" s="69">
        <v>121144</v>
      </c>
      <c r="C6" s="70">
        <v>120960</v>
      </c>
      <c r="D6" s="70">
        <f>B6-C6</f>
        <v>184</v>
      </c>
      <c r="E6" s="71">
        <f>D6*$E$4</f>
        <v>536.4990107258111</v>
      </c>
      <c r="F6" s="64"/>
    </row>
    <row r="7" spans="2:6">
      <c r="B7" s="72"/>
      <c r="C7" s="73">
        <v>0.2</v>
      </c>
      <c r="D7" s="64">
        <f>(D6*$E$4*C7)</f>
        <v>107.29980214516223</v>
      </c>
      <c r="E7" s="74">
        <f>D7+E6</f>
        <v>643.79881287097328</v>
      </c>
      <c r="F7" s="64"/>
    </row>
    <row r="8" spans="2:6">
      <c r="B8" s="75"/>
      <c r="D8" s="76"/>
      <c r="E8" s="77">
        <f>E7+C9</f>
        <v>673.79881287097328</v>
      </c>
    </row>
    <row r="9" spans="2:6">
      <c r="B9" s="78"/>
      <c r="C9" s="79">
        <v>30</v>
      </c>
      <c r="D9" s="80"/>
      <c r="E9" s="81">
        <f>D6/$E$3</f>
        <v>0.19160678954493257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1581.4968962642283</v>
      </c>
      <c r="D11" s="67">
        <v>0</v>
      </c>
      <c r="E11" s="68" t="s">
        <v>30</v>
      </c>
    </row>
    <row r="12" spans="2:6">
      <c r="B12" s="69">
        <v>3697</v>
      </c>
      <c r="C12" s="70">
        <v>3400</v>
      </c>
      <c r="D12" s="70">
        <f>B12-C12</f>
        <v>297</v>
      </c>
      <c r="E12" s="74">
        <f>D12*$E$4</f>
        <v>865.97938144329305</v>
      </c>
    </row>
    <row r="13" spans="2:6">
      <c r="B13" s="72">
        <f>'07-22'!C11</f>
        <v>1321.7030818312405</v>
      </c>
      <c r="C13" s="73">
        <v>0.3</v>
      </c>
      <c r="D13" s="64">
        <f>(D12*$E$4*C13)</f>
        <v>259.79381443298792</v>
      </c>
      <c r="E13" s="74">
        <f>D13+E12</f>
        <v>1125.7731958762811</v>
      </c>
    </row>
    <row r="14" spans="2:6">
      <c r="B14" s="75"/>
      <c r="C14" s="86"/>
      <c r="D14" s="76"/>
      <c r="E14" s="77">
        <f>E13+C15</f>
        <v>1165.7731958762811</v>
      </c>
    </row>
    <row r="15" spans="2:6">
      <c r="B15" s="78"/>
      <c r="C15" s="79">
        <v>40</v>
      </c>
      <c r="D15" s="80"/>
      <c r="E15" s="81">
        <f>D12/$E$3</f>
        <v>0.30927835051546182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943</v>
      </c>
      <c r="C18" s="89">
        <v>910</v>
      </c>
      <c r="D18" s="89">
        <f>B18-C18</f>
        <v>33</v>
      </c>
      <c r="E18" s="90">
        <f>D18*$E$4</f>
        <v>96.219931271477009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96.219931271477009</v>
      </c>
    </row>
    <row r="20" spans="2:5">
      <c r="B20" s="75"/>
      <c r="D20" s="76"/>
      <c r="E20" s="77">
        <f>E19+C21</f>
        <v>106.21993127147701</v>
      </c>
    </row>
    <row r="21" spans="2:5">
      <c r="B21" s="78"/>
      <c r="C21" s="79">
        <v>10</v>
      </c>
      <c r="D21" s="80"/>
      <c r="E21" s="81">
        <f>D18/$E$3</f>
        <v>3.4364261168384647E-2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445.013543064445</v>
      </c>
      <c r="D23" s="67">
        <v>0</v>
      </c>
      <c r="E23" s="68" t="s">
        <v>30</v>
      </c>
    </row>
    <row r="24" spans="2:5">
      <c r="B24" s="92">
        <f>E3-D6-D12-D18-D36-D30</f>
        <v>323.30000000000655</v>
      </c>
      <c r="C24" s="70"/>
      <c r="D24" s="70">
        <f>B24-C24</f>
        <v>323.30000000000655</v>
      </c>
      <c r="E24" s="93">
        <f>D24*$E$4</f>
        <v>942.66375091118618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194.91458377590598</v>
      </c>
      <c r="E25" s="74">
        <f>D25+E24</f>
        <v>1137.5783346870921</v>
      </c>
    </row>
    <row r="26" spans="2:5">
      <c r="B26" s="75"/>
      <c r="C26" s="16"/>
      <c r="D26" s="95"/>
      <c r="E26" s="77">
        <f>E25+C27</f>
        <v>1157.5783346870921</v>
      </c>
    </row>
    <row r="27" spans="2:5">
      <c r="B27" s="78"/>
      <c r="C27" s="79">
        <v>20</v>
      </c>
      <c r="D27" s="80"/>
      <c r="E27" s="81">
        <f>D24/$E$3</f>
        <v>0.33666562532542366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5111</v>
      </c>
      <c r="C30" s="70">
        <v>5000</v>
      </c>
      <c r="D30" s="70">
        <f>B30-C30</f>
        <v>111</v>
      </c>
      <c r="E30" s="93">
        <f>D30*$E$4</f>
        <v>323.64885973133175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323.64885973133175</v>
      </c>
    </row>
    <row r="32" spans="2:5">
      <c r="B32" s="75"/>
      <c r="D32" s="76"/>
      <c r="E32" s="77">
        <f>E31+C33</f>
        <v>353.64885973133175</v>
      </c>
    </row>
    <row r="33" spans="2:5">
      <c r="B33" s="78">
        <f>C33-D33</f>
        <v>30</v>
      </c>
      <c r="C33" s="79">
        <v>30</v>
      </c>
      <c r="D33" s="80"/>
      <c r="E33" s="81">
        <f>D30/$E$3</f>
        <v>0.11558887847547562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7314</v>
      </c>
      <c r="C36" s="89">
        <v>7302</v>
      </c>
      <c r="D36" s="89">
        <f>B36-C36+J39</f>
        <v>12</v>
      </c>
      <c r="E36" s="97">
        <f>D36*$E$4</f>
        <v>34.989065916900728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44.989065916900728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960.30000000000655</v>
      </c>
      <c r="D40" s="103">
        <f>E8+E14+E20+E26+E32+E37</f>
        <v>3502.008200354056</v>
      </c>
      <c r="E40" s="7">
        <f>E36+E30+E24+E18+E12+E6</f>
        <v>2800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1299.329</v>
      </c>
      <c r="C3" s="59">
        <v>1284.45</v>
      </c>
      <c r="D3" s="60">
        <f>B3-C3</f>
        <v>14.878999999999905</v>
      </c>
      <c r="E3" s="60">
        <f>D3*$E$1</f>
        <v>892.73999999999432</v>
      </c>
    </row>
    <row r="4" spans="2:6">
      <c r="B4" s="61" t="s">
        <v>27</v>
      </c>
      <c r="C4" s="62">
        <v>2575</v>
      </c>
      <c r="D4" s="61" t="s">
        <v>28</v>
      </c>
      <c r="E4" s="63">
        <f>C4/E3</f>
        <v>2.8843784304500932</v>
      </c>
      <c r="F4" s="64"/>
    </row>
    <row r="5" spans="2:6">
      <c r="B5" s="65" t="s">
        <v>29</v>
      </c>
      <c r="C5" s="66">
        <f>B7+D7</f>
        <v>101.24168290879828</v>
      </c>
      <c r="D5" s="67"/>
      <c r="E5" s="68" t="s">
        <v>30</v>
      </c>
    </row>
    <row r="6" spans="2:6">
      <c r="B6" s="69">
        <v>120960</v>
      </c>
      <c r="C6" s="70">
        <v>120825</v>
      </c>
      <c r="D6" s="70">
        <f>B6-C6</f>
        <v>135</v>
      </c>
      <c r="E6" s="71">
        <f>D6*$E$4</f>
        <v>389.39108811076261</v>
      </c>
      <c r="F6" s="64"/>
    </row>
    <row r="7" spans="2:6">
      <c r="B7" s="72"/>
      <c r="C7" s="73">
        <v>0.26</v>
      </c>
      <c r="D7" s="64">
        <f>(D6*$E$4*C7)</f>
        <v>101.24168290879828</v>
      </c>
      <c r="E7" s="74">
        <f>D7+E6</f>
        <v>490.63277101956089</v>
      </c>
      <c r="F7" s="64"/>
    </row>
    <row r="8" spans="2:6">
      <c r="B8" s="75"/>
      <c r="D8" s="76"/>
      <c r="E8" s="77">
        <f>E7+C9</f>
        <v>520.63277101956089</v>
      </c>
    </row>
    <row r="9" spans="2:6">
      <c r="B9" s="78"/>
      <c r="C9" s="79">
        <v>30</v>
      </c>
      <c r="D9" s="80"/>
      <c r="E9" s="81">
        <f>D6/$E$3</f>
        <v>0.15121984004301461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1580.1433891995689</v>
      </c>
      <c r="D11" s="67">
        <v>0</v>
      </c>
      <c r="E11" s="68" t="s">
        <v>30</v>
      </c>
    </row>
    <row r="12" spans="2:6">
      <c r="B12" s="69">
        <v>3400</v>
      </c>
      <c r="C12" s="70">
        <v>3144</v>
      </c>
      <c r="D12" s="70">
        <f>B12-C12</f>
        <v>256</v>
      </c>
      <c r="E12" s="74">
        <f>D12*$E$4</f>
        <v>738.40087819522387</v>
      </c>
    </row>
    <row r="13" spans="2:6">
      <c r="B13" s="72">
        <f>'07-22'!C11</f>
        <v>1321.7030818312405</v>
      </c>
      <c r="C13" s="73">
        <v>0.35</v>
      </c>
      <c r="D13" s="64">
        <f>(D12*$E$4*C13)</f>
        <v>258.44030736832832</v>
      </c>
      <c r="E13" s="74">
        <f>D13+E12</f>
        <v>996.84118556355224</v>
      </c>
    </row>
    <row r="14" spans="2:6">
      <c r="B14" s="75"/>
      <c r="C14" s="86"/>
      <c r="D14" s="76"/>
      <c r="E14" s="77">
        <f>E13+C15</f>
        <v>1036.8411855635522</v>
      </c>
    </row>
    <row r="15" spans="2:6">
      <c r="B15" s="78"/>
      <c r="C15" s="79">
        <v>40</v>
      </c>
      <c r="D15" s="80"/>
      <c r="E15" s="81">
        <f>D12/$E$3</f>
        <v>0.28675762260008697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910</v>
      </c>
      <c r="C18" s="89">
        <v>881</v>
      </c>
      <c r="D18" s="89">
        <f>B18-C18</f>
        <v>29</v>
      </c>
      <c r="E18" s="90">
        <f>D18*$E$4</f>
        <v>83.646974483052702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83.646974483052702</v>
      </c>
    </row>
    <row r="20" spans="2:5">
      <c r="B20" s="75"/>
      <c r="D20" s="76"/>
      <c r="E20" s="77">
        <f>E19+C21</f>
        <v>93.646974483052702</v>
      </c>
    </row>
    <row r="21" spans="2:5">
      <c r="B21" s="78"/>
      <c r="C21" s="79">
        <v>10</v>
      </c>
      <c r="D21" s="80"/>
      <c r="E21" s="81">
        <f>D18/$E$3</f>
        <v>3.2484261935166098E-2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504.01136939674308</v>
      </c>
      <c r="D23" s="67">
        <v>0</v>
      </c>
      <c r="E23" s="68" t="s">
        <v>30</v>
      </c>
    </row>
    <row r="24" spans="2:5">
      <c r="B24" s="92">
        <f>E3-D6-D12-D18-D36-D30</f>
        <v>382.73999999999432</v>
      </c>
      <c r="C24" s="70"/>
      <c r="D24" s="70">
        <f>B24-C24</f>
        <v>382.73999999999432</v>
      </c>
      <c r="E24" s="93">
        <f>D24*$E$4</f>
        <v>1103.9670004704524</v>
      </c>
    </row>
    <row r="25" spans="2:5">
      <c r="B25" s="72">
        <f>'06-22'!C23</f>
        <v>250.09895928853902</v>
      </c>
      <c r="C25" s="73">
        <v>0.23</v>
      </c>
      <c r="D25" s="94">
        <f>(D24*$E$4*C25)</f>
        <v>253.91241010820406</v>
      </c>
      <c r="E25" s="74">
        <f>D25+E24</f>
        <v>1357.8794105786565</v>
      </c>
    </row>
    <row r="26" spans="2:5">
      <c r="B26" s="75"/>
      <c r="C26" s="16"/>
      <c r="D26" s="95"/>
      <c r="E26" s="77">
        <f>E25+C27</f>
        <v>1377.8794105786565</v>
      </c>
    </row>
    <row r="27" spans="2:5">
      <c r="B27" s="78"/>
      <c r="C27" s="79">
        <v>20</v>
      </c>
      <c r="D27" s="80"/>
      <c r="E27" s="81">
        <f>D24/$E$3</f>
        <v>0.42872504872638928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5000</v>
      </c>
      <c r="C30" s="70">
        <v>4921</v>
      </c>
      <c r="D30" s="70">
        <f>B30-C30</f>
        <v>79</v>
      </c>
      <c r="E30" s="93">
        <f>D30*$E$4</f>
        <v>227.86589600555737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227.86589600555737</v>
      </c>
    </row>
    <row r="32" spans="2:5">
      <c r="B32" s="75"/>
      <c r="D32" s="76"/>
      <c r="E32" s="77">
        <f>E31+C33</f>
        <v>257.86589600555737</v>
      </c>
    </row>
    <row r="33" spans="2:5">
      <c r="B33" s="78">
        <f>C33-D33</f>
        <v>30</v>
      </c>
      <c r="C33" s="79">
        <v>30</v>
      </c>
      <c r="D33" s="80"/>
      <c r="E33" s="81">
        <f>D30/$E$3</f>
        <v>8.8491610099245582E-2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7302</v>
      </c>
      <c r="C36" s="89">
        <v>7291</v>
      </c>
      <c r="D36" s="89">
        <f>B36-C36+J39</f>
        <v>11</v>
      </c>
      <c r="E36" s="97">
        <f>D36*$E$4</f>
        <v>31.728162734951027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41.728162734951027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892.73999999999432</v>
      </c>
      <c r="D40" s="103">
        <f>E8+E14+E20+E26+E32+E37</f>
        <v>3328.594400385331</v>
      </c>
      <c r="E40" s="7">
        <f>E36+E30+E24+E18+E12+E6</f>
        <v>2575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1284.4580000000001</v>
      </c>
      <c r="C3" s="59">
        <v>1270.48</v>
      </c>
      <c r="D3" s="60">
        <f>B3-C3</f>
        <v>13.978000000000065</v>
      </c>
      <c r="E3" s="60">
        <f>D3*$E$1</f>
        <v>838.68000000000393</v>
      </c>
    </row>
    <row r="4" spans="2:6">
      <c r="B4" s="61" t="s">
        <v>27</v>
      </c>
      <c r="C4" s="62">
        <v>2380</v>
      </c>
      <c r="D4" s="61" t="s">
        <v>28</v>
      </c>
      <c r="E4" s="63">
        <f>C4/E3</f>
        <v>2.8377927218962999</v>
      </c>
      <c r="F4" s="64"/>
    </row>
    <row r="5" spans="2:6">
      <c r="B5" s="65" t="s">
        <v>29</v>
      </c>
      <c r="C5" s="66">
        <f>B7+D7</f>
        <v>100.11732722850145</v>
      </c>
      <c r="D5" s="67"/>
      <c r="E5" s="68" t="s">
        <v>30</v>
      </c>
    </row>
    <row r="6" spans="2:6">
      <c r="B6" s="69">
        <v>120825</v>
      </c>
      <c r="C6" s="70">
        <v>120678</v>
      </c>
      <c r="D6" s="70">
        <f>B6-C6</f>
        <v>147</v>
      </c>
      <c r="E6" s="71">
        <f>D6*$E$4</f>
        <v>417.15553011875608</v>
      </c>
      <c r="F6" s="64"/>
    </row>
    <row r="7" spans="2:6">
      <c r="B7" s="72"/>
      <c r="C7" s="73">
        <v>0.24</v>
      </c>
      <c r="D7" s="64">
        <f>(D6*$E$4*C7)</f>
        <v>100.11732722850145</v>
      </c>
      <c r="E7" s="74">
        <f>D7+E6</f>
        <v>517.27285734725751</v>
      </c>
      <c r="F7" s="64"/>
    </row>
    <row r="8" spans="2:6">
      <c r="B8" s="75"/>
      <c r="D8" s="76"/>
      <c r="E8" s="77">
        <f>E7+C9</f>
        <v>547.27285734725751</v>
      </c>
    </row>
    <row r="9" spans="2:6">
      <c r="B9" s="78"/>
      <c r="C9" s="79">
        <v>30</v>
      </c>
      <c r="D9" s="80"/>
      <c r="E9" s="81">
        <f>D6/$E$3</f>
        <v>0.17527543282300675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1571.7265258146419</v>
      </c>
      <c r="D11" s="67">
        <v>0</v>
      </c>
      <c r="E11" s="68" t="s">
        <v>30</v>
      </c>
    </row>
    <row r="12" spans="2:6">
      <c r="B12" s="69">
        <v>3144</v>
      </c>
      <c r="C12" s="70">
        <v>2897</v>
      </c>
      <c r="D12" s="70">
        <f>B12-C12</f>
        <v>247</v>
      </c>
      <c r="E12" s="74">
        <f>D12*$E$4</f>
        <v>700.93480230838611</v>
      </c>
    </row>
    <row r="13" spans="2:6">
      <c r="B13" s="72">
        <f>'07-22'!C11</f>
        <v>1321.7030818312405</v>
      </c>
      <c r="C13" s="73">
        <v>0.35670000000000002</v>
      </c>
      <c r="D13" s="64">
        <f>(D12*$E$4*C13)</f>
        <v>250.02344398340134</v>
      </c>
      <c r="E13" s="74">
        <f>D13+E12</f>
        <v>950.95824629178742</v>
      </c>
    </row>
    <row r="14" spans="2:6">
      <c r="B14" s="75"/>
      <c r="C14" s="86"/>
      <c r="D14" s="76"/>
      <c r="E14" s="77">
        <f>E13+C15</f>
        <v>990.95824629178742</v>
      </c>
    </row>
    <row r="15" spans="2:6">
      <c r="B15" s="78"/>
      <c r="C15" s="79">
        <v>40</v>
      </c>
      <c r="D15" s="80"/>
      <c r="E15" s="81">
        <f>D12/$E$3</f>
        <v>0.29451042113797737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881</v>
      </c>
      <c r="C18" s="89">
        <v>845</v>
      </c>
      <c r="D18" s="89">
        <f>B18-C18</f>
        <v>36</v>
      </c>
      <c r="E18" s="90">
        <f>D18*$E$4</f>
        <v>102.1605379882668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102.1605379882668</v>
      </c>
    </row>
    <row r="20" spans="2:5">
      <c r="B20" s="75"/>
      <c r="D20" s="76"/>
      <c r="E20" s="77">
        <f>E19+C21</f>
        <v>112.1605379882668</v>
      </c>
    </row>
    <row r="21" spans="2:5">
      <c r="B21" s="78"/>
      <c r="C21" s="79">
        <v>10</v>
      </c>
      <c r="D21" s="80"/>
      <c r="E21" s="81">
        <f>D18/$E$3</f>
        <v>4.2924595793389413E-2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500.39961021618933</v>
      </c>
      <c r="D23" s="67">
        <v>0</v>
      </c>
      <c r="E23" s="68" t="s">
        <v>30</v>
      </c>
    </row>
    <row r="24" spans="2:5">
      <c r="B24" s="92">
        <f>E3-D6-D12-D18-D36-D30</f>
        <v>297.68000000000393</v>
      </c>
      <c r="C24" s="70"/>
      <c r="D24" s="70">
        <f>B24-C24</f>
        <v>297.68000000000393</v>
      </c>
      <c r="E24" s="93">
        <f>D24*$E$4</f>
        <v>844.75413745410174</v>
      </c>
    </row>
    <row r="25" spans="2:5">
      <c r="B25" s="72">
        <f>'06-22'!C23</f>
        <v>250.09895928853902</v>
      </c>
      <c r="C25" s="73">
        <v>0.29630000000000001</v>
      </c>
      <c r="D25" s="94">
        <f>(D24*$E$4*C25)</f>
        <v>250.30065092765034</v>
      </c>
      <c r="E25" s="74">
        <f>D25+E24</f>
        <v>1095.0547883817521</v>
      </c>
    </row>
    <row r="26" spans="2:5">
      <c r="B26" s="75"/>
      <c r="C26" s="16"/>
      <c r="D26" s="95"/>
      <c r="E26" s="77">
        <f>E25+C27</f>
        <v>1115.0547883817521</v>
      </c>
    </row>
    <row r="27" spans="2:5">
      <c r="B27" s="78"/>
      <c r="C27" s="79">
        <v>20</v>
      </c>
      <c r="D27" s="80"/>
      <c r="E27" s="81">
        <f>D24/$E$3</f>
        <v>0.35493871321600912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4921</v>
      </c>
      <c r="C30" s="70">
        <v>4818</v>
      </c>
      <c r="D30" s="70">
        <f>B30-C30</f>
        <v>103</v>
      </c>
      <c r="E30" s="93">
        <f>D30*$E$4</f>
        <v>292.29265035531887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292.29265035531887</v>
      </c>
    </row>
    <row r="32" spans="2:5">
      <c r="B32" s="75"/>
      <c r="D32" s="76"/>
      <c r="E32" s="77">
        <f>E31+C33</f>
        <v>322.29265035531887</v>
      </c>
    </row>
    <row r="33" spans="2:5">
      <c r="B33" s="78">
        <f>C33-D33</f>
        <v>30</v>
      </c>
      <c r="C33" s="79">
        <v>30</v>
      </c>
      <c r="D33" s="80"/>
      <c r="E33" s="81">
        <f>D30/$E$3</f>
        <v>0.12281203796441971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7291</v>
      </c>
      <c r="C36" s="89">
        <v>7283</v>
      </c>
      <c r="D36" s="89">
        <f>B36-C36+J39</f>
        <v>8</v>
      </c>
      <c r="E36" s="97">
        <f>D36*$E$4</f>
        <v>22.7023417751704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32.702341775170396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838.68000000000393</v>
      </c>
      <c r="D40" s="103">
        <f>E8+E14+E20+E26+E32+E37</f>
        <v>3120.4414221395532</v>
      </c>
      <c r="E40" s="7">
        <f>E36+E30+E24+E18+E12+E6</f>
        <v>2379.9999999999995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45046</v>
      </c>
      <c r="C1" s="54">
        <v>45076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1270.481</v>
      </c>
      <c r="C3" s="59">
        <v>1254.9960000000001</v>
      </c>
      <c r="D3" s="60">
        <f>B3-C3</f>
        <v>15.4849999999999</v>
      </c>
      <c r="E3" s="60">
        <f>D3*$E$1</f>
        <v>929.099999999994</v>
      </c>
    </row>
    <row r="4" spans="2:6">
      <c r="B4" s="61" t="s">
        <v>27</v>
      </c>
      <c r="C4" s="62">
        <v>2637</v>
      </c>
      <c r="D4" s="61" t="s">
        <v>28</v>
      </c>
      <c r="E4" s="63">
        <f>C4/E3</f>
        <v>2.8382305456893953</v>
      </c>
      <c r="F4" s="64"/>
    </row>
    <row r="5" spans="2:6">
      <c r="B5" s="65" t="s">
        <v>29</v>
      </c>
      <c r="C5" s="66">
        <f>B7+D7</f>
        <v>100.00562092347498</v>
      </c>
      <c r="D5" s="67"/>
      <c r="E5" s="68" t="s">
        <v>30</v>
      </c>
    </row>
    <row r="6" spans="2:6">
      <c r="B6" s="69">
        <v>120678</v>
      </c>
      <c r="C6" s="70">
        <v>120524</v>
      </c>
      <c r="D6" s="70">
        <f>B6-C6</f>
        <v>154</v>
      </c>
      <c r="E6" s="71">
        <f>D6*$E$4</f>
        <v>437.08750403616688</v>
      </c>
      <c r="F6" s="64"/>
    </row>
    <row r="7" spans="2:6">
      <c r="B7" s="72"/>
      <c r="C7" s="73">
        <v>0.2288</v>
      </c>
      <c r="D7" s="64">
        <f>(D6*$E$4*C7)</f>
        <v>100.00562092347498</v>
      </c>
      <c r="E7" s="74">
        <f>D7+E6</f>
        <v>537.09312495964184</v>
      </c>
      <c r="F7" s="64"/>
    </row>
    <row r="8" spans="2:6">
      <c r="B8" s="75"/>
      <c r="D8" s="76"/>
      <c r="E8" s="77">
        <f>E7+C9</f>
        <v>557.09312495964184</v>
      </c>
    </row>
    <row r="9" spans="2:6">
      <c r="B9" s="78"/>
      <c r="C9" s="79">
        <v>20</v>
      </c>
      <c r="D9" s="80"/>
      <c r="E9" s="81">
        <f>D6/$E$3</f>
        <v>0.16575180281993435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1571.7245135393468</v>
      </c>
      <c r="D11" s="67">
        <v>0</v>
      </c>
      <c r="E11" s="68" t="s">
        <v>30</v>
      </c>
    </row>
    <row r="12" spans="2:6">
      <c r="B12" s="69">
        <v>2867</v>
      </c>
      <c r="C12" s="70">
        <v>2646</v>
      </c>
      <c r="D12" s="70">
        <f>B12-C12</f>
        <v>221</v>
      </c>
      <c r="E12" s="74">
        <f>D12*$E$4</f>
        <v>627.24895059735638</v>
      </c>
    </row>
    <row r="13" spans="2:6">
      <c r="B13" s="72">
        <f>'07-22'!C11</f>
        <v>1321.7030818312405</v>
      </c>
      <c r="C13" s="73">
        <v>0.39860000000000001</v>
      </c>
      <c r="D13" s="64">
        <f>(D12*$E$4*C13)</f>
        <v>250.02143170810626</v>
      </c>
      <c r="E13" s="74">
        <f>D13+E12</f>
        <v>877.27038230546259</v>
      </c>
    </row>
    <row r="14" spans="2:6">
      <c r="B14" s="75"/>
      <c r="C14" s="86"/>
      <c r="D14" s="76"/>
      <c r="E14" s="77">
        <f>E13+C15</f>
        <v>927.27038230546259</v>
      </c>
    </row>
    <row r="15" spans="2:6">
      <c r="B15" s="78"/>
      <c r="C15" s="79">
        <v>50</v>
      </c>
      <c r="D15" s="80"/>
      <c r="E15" s="81">
        <f>D12/$E$3</f>
        <v>0.237864600150685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845</v>
      </c>
      <c r="C18" s="89">
        <v>803</v>
      </c>
      <c r="D18" s="89">
        <f>B18-C18</f>
        <v>42</v>
      </c>
      <c r="E18" s="90">
        <f>D18*$E$4</f>
        <v>119.20568291895461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119.20568291895461</v>
      </c>
    </row>
    <row r="20" spans="2:5">
      <c r="B20" s="75"/>
      <c r="D20" s="76"/>
      <c r="E20" s="77">
        <f>E19+C21</f>
        <v>129.20568291895461</v>
      </c>
    </row>
    <row r="21" spans="2:5">
      <c r="B21" s="78"/>
      <c r="C21" s="79">
        <v>10</v>
      </c>
      <c r="D21" s="80"/>
      <c r="E21" s="81">
        <f>D18/$E$3</f>
        <v>4.5205037132709368E-2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500.96618369925682</v>
      </c>
      <c r="D23" s="67">
        <v>0</v>
      </c>
      <c r="E23" s="68" t="s">
        <v>30</v>
      </c>
    </row>
    <row r="24" spans="2:5">
      <c r="B24" s="92">
        <f>E3-D6-D12-D18-D36-D30</f>
        <v>391.099999999994</v>
      </c>
      <c r="C24" s="70"/>
      <c r="D24" s="70">
        <f>B24-C24</f>
        <v>391.099999999994</v>
      </c>
      <c r="E24" s="93">
        <f>D24*$E$4</f>
        <v>1110.0319664191054</v>
      </c>
    </row>
    <row r="25" spans="2:5">
      <c r="B25" s="72">
        <f>'06-22'!C23</f>
        <v>250.09895928853902</v>
      </c>
      <c r="C25" s="73">
        <v>0.22600000000000001</v>
      </c>
      <c r="D25" s="94">
        <f>(D24*$E$4*C25)</f>
        <v>250.86722441071782</v>
      </c>
      <c r="E25" s="74">
        <f>D25+E24</f>
        <v>1360.8991908298233</v>
      </c>
    </row>
    <row r="26" spans="2:5">
      <c r="B26" s="75"/>
      <c r="C26" s="16"/>
      <c r="D26" s="95"/>
      <c r="E26" s="77">
        <f>E25+C27</f>
        <v>1380.8991908298233</v>
      </c>
    </row>
    <row r="27" spans="2:5">
      <c r="B27" s="78"/>
      <c r="C27" s="79">
        <v>20</v>
      </c>
      <c r="D27" s="80"/>
      <c r="E27" s="81">
        <f>D24/$E$3</f>
        <v>0.42094500053815148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4818</v>
      </c>
      <c r="C30" s="70">
        <v>4709</v>
      </c>
      <c r="D30" s="70">
        <f>B30-C30</f>
        <v>109</v>
      </c>
      <c r="E30" s="93">
        <f>D30*$E$4</f>
        <v>309.36712948014406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309.36712948014406</v>
      </c>
    </row>
    <row r="32" spans="2:5">
      <c r="B32" s="75"/>
      <c r="D32" s="76"/>
      <c r="E32" s="77">
        <f>E31+C33</f>
        <v>339.36712948014406</v>
      </c>
    </row>
    <row r="33" spans="2:5">
      <c r="B33" s="78">
        <f>C33-D33</f>
        <v>30</v>
      </c>
      <c r="C33" s="79">
        <v>30</v>
      </c>
      <c r="D33" s="80"/>
      <c r="E33" s="81">
        <f>D30/$E$3</f>
        <v>0.11731783446346002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7283</v>
      </c>
      <c r="C36" s="89">
        <v>7271</v>
      </c>
      <c r="D36" s="89">
        <f>B36-C36+J39</f>
        <v>12</v>
      </c>
      <c r="E36" s="97">
        <f>D36*$E$4</f>
        <v>34.058766548272743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44.058766548272743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929.099999999994</v>
      </c>
      <c r="D40" s="103">
        <f>E8+E14+E20+E26+E32+E37</f>
        <v>3377.8942770422991</v>
      </c>
      <c r="E40" s="7">
        <f>E36+E30+E24+E18+E12+E6</f>
        <v>2637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E53F4-C23C-4E81-9EA8-9D971DCAFE45}">
  <dimension ref="B1:F41"/>
  <sheetViews>
    <sheetView tabSelected="1" topLeftCell="A29" zoomScale="220" zoomScaleNormal="220" workbookViewId="0">
      <selection activeCell="B38" sqref="B38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1532.55</v>
      </c>
      <c r="C3" s="59">
        <v>1518.171</v>
      </c>
      <c r="D3" s="60">
        <f>B3-C3</f>
        <v>14.378999999999905</v>
      </c>
      <c r="E3" s="60">
        <f>D3*$E$1</f>
        <v>862.73999999999432</v>
      </c>
    </row>
    <row r="4" spans="2:6">
      <c r="B4" s="61" t="s">
        <v>27</v>
      </c>
      <c r="C4" s="62">
        <v>4125</v>
      </c>
      <c r="D4" s="61" t="s">
        <v>28</v>
      </c>
      <c r="E4" s="170">
        <f>C4/E3</f>
        <v>4.7812782530078906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123450</v>
      </c>
      <c r="C6" s="70">
        <v>123289</v>
      </c>
      <c r="D6" s="70">
        <f>B6-C6</f>
        <v>161</v>
      </c>
      <c r="E6" s="71">
        <f>D6*$E$4</f>
        <v>769.78579873427043</v>
      </c>
      <c r="F6" s="64"/>
    </row>
    <row r="7" spans="2:6">
      <c r="B7" s="72"/>
      <c r="C7" s="73"/>
      <c r="D7" s="64"/>
      <c r="E7" s="74">
        <f>D7+E6</f>
        <v>769.78579873427043</v>
      </c>
      <c r="F7" s="64"/>
    </row>
    <row r="8" spans="2:6">
      <c r="B8" s="75"/>
      <c r="D8" s="76"/>
      <c r="E8" s="77">
        <f>E7+C9</f>
        <v>769.78579873427043</v>
      </c>
    </row>
    <row r="9" spans="2:6">
      <c r="B9" s="78"/>
      <c r="C9" s="79"/>
      <c r="D9" s="80"/>
      <c r="E9" s="81">
        <f>D6/$E$3</f>
        <v>0.18661473908709583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7200</v>
      </c>
      <c r="C12" s="70">
        <v>6940</v>
      </c>
      <c r="D12" s="70">
        <f>B12-C12</f>
        <v>260</v>
      </c>
      <c r="E12" s="74">
        <f>D12*$E$4</f>
        <v>1243.1323457820515</v>
      </c>
    </row>
    <row r="13" spans="2:6">
      <c r="B13" s="72">
        <f>'07-22'!C11</f>
        <v>1321.7030818312405</v>
      </c>
      <c r="C13" s="73"/>
      <c r="D13" s="64"/>
      <c r="E13" s="74">
        <f>D13+E12</f>
        <v>1243.1323457820515</v>
      </c>
    </row>
    <row r="14" spans="2:6">
      <c r="B14" s="75"/>
      <c r="C14" s="86"/>
      <c r="D14" s="76"/>
      <c r="E14" s="77">
        <f>E13+C15</f>
        <v>1243.1323457820515</v>
      </c>
    </row>
    <row r="15" spans="2:6">
      <c r="B15" s="78"/>
      <c r="C15" s="79"/>
      <c r="D15" s="80"/>
      <c r="E15" s="81">
        <f>D12/$E$3</f>
        <v>0.30136541715928522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2035</v>
      </c>
      <c r="C18" s="89">
        <v>1914</v>
      </c>
      <c r="D18" s="89">
        <f>B18-C18</f>
        <v>121</v>
      </c>
      <c r="E18" s="90">
        <f>D18*$E$4</f>
        <v>578.53466861395475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578.53466861395475</v>
      </c>
    </row>
    <row r="20" spans="2:5">
      <c r="B20" s="75"/>
      <c r="D20" s="76"/>
      <c r="E20" s="77">
        <f>E19+C21</f>
        <v>578.53466861395475</v>
      </c>
    </row>
    <row r="21" spans="2:5">
      <c r="B21" s="78"/>
      <c r="C21" s="79"/>
      <c r="D21" s="80"/>
      <c r="E21" s="81">
        <f>D18/$E$3</f>
        <v>0.14025082875489811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229.73999999999432</v>
      </c>
      <c r="C24" s="70"/>
      <c r="D24" s="70">
        <f>B24-C24</f>
        <v>229.73999999999432</v>
      </c>
      <c r="E24" s="93">
        <f>D24*$E$4</f>
        <v>1098.4508658460056</v>
      </c>
    </row>
    <row r="25" spans="2:5">
      <c r="B25" s="72">
        <f>'06-22'!C23</f>
        <v>250.09895928853902</v>
      </c>
      <c r="C25" s="73"/>
      <c r="D25" s="94"/>
      <c r="E25" s="74">
        <f>D25+E24</f>
        <v>1098.4508658460056</v>
      </c>
    </row>
    <row r="26" spans="2:5">
      <c r="B26" s="75"/>
      <c r="C26" s="16"/>
      <c r="D26" s="95"/>
      <c r="E26" s="77">
        <f>E25+C27</f>
        <v>1098.4508658460056</v>
      </c>
    </row>
    <row r="27" spans="2:5">
      <c r="B27" s="78"/>
      <c r="C27" s="79"/>
      <c r="D27" s="80"/>
      <c r="E27" s="81">
        <f>D24/$E$3</f>
        <v>0.26629111899297103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6460</v>
      </c>
      <c r="C30" s="70">
        <v>6369</v>
      </c>
      <c r="D30" s="70">
        <f>B30-C30</f>
        <v>91</v>
      </c>
      <c r="E30" s="93">
        <f>D30*$E$4</f>
        <v>435.09632102371802</v>
      </c>
    </row>
    <row r="31" spans="2:5">
      <c r="B31" s="96">
        <f>'05-22'!C26</f>
        <v>0</v>
      </c>
      <c r="C31" s="73"/>
      <c r="D31" s="64"/>
      <c r="E31" s="74">
        <f>D31+E30</f>
        <v>435.09632102371802</v>
      </c>
    </row>
    <row r="32" spans="2:5">
      <c r="B32" s="75"/>
      <c r="D32" s="76"/>
      <c r="E32" s="77">
        <f>E31+C33</f>
        <v>435.09632102371802</v>
      </c>
    </row>
    <row r="33" spans="2:5">
      <c r="B33" s="78">
        <f>C33-D33</f>
        <v>0</v>
      </c>
      <c r="C33" s="79"/>
      <c r="D33" s="80"/>
      <c r="E33" s="81">
        <f>D30/$E$3</f>
        <v>0.10547789600574982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862.73999999999432</v>
      </c>
      <c r="D40" s="103">
        <f>E8+E14+E20+E26+E32+E37</f>
        <v>4125</v>
      </c>
      <c r="E40" s="7">
        <f>E36+E30+E24+E18+E12+E6</f>
        <v>4125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1254.9960000000001</v>
      </c>
      <c r="C3" s="59">
        <v>1242.6790000000001</v>
      </c>
      <c r="D3" s="60">
        <f>B3-C3</f>
        <v>12.317000000000007</v>
      </c>
      <c r="E3" s="60">
        <f>D3*$E$1</f>
        <v>739.02000000000044</v>
      </c>
    </row>
    <row r="4" spans="2:6">
      <c r="B4" s="61" t="s">
        <v>27</v>
      </c>
      <c r="C4" s="62">
        <v>2097</v>
      </c>
      <c r="D4" s="61" t="s">
        <v>28</v>
      </c>
      <c r="E4" s="63">
        <f>C4/E3</f>
        <v>2.8375416091580727</v>
      </c>
      <c r="F4" s="64"/>
    </row>
    <row r="5" spans="2:6">
      <c r="B5" s="65" t="s">
        <v>46</v>
      </c>
      <c r="C5" s="66">
        <f>B7+D7</f>
        <v>100.29574571730124</v>
      </c>
      <c r="D5" s="67"/>
      <c r="E5" s="68" t="s">
        <v>30</v>
      </c>
    </row>
    <row r="6" spans="2:6">
      <c r="B6" s="69">
        <v>120524</v>
      </c>
      <c r="C6" s="70">
        <v>120387</v>
      </c>
      <c r="D6" s="70">
        <f>B6-C6</f>
        <v>137</v>
      </c>
      <c r="E6" s="71">
        <f>D6*$E$4</f>
        <v>388.74320045465595</v>
      </c>
      <c r="F6" s="64"/>
    </row>
    <row r="7" spans="2:6">
      <c r="B7" s="72"/>
      <c r="C7" s="73">
        <v>0.25800000000000001</v>
      </c>
      <c r="D7" s="64">
        <f>(D6*$E$4*C7)</f>
        <v>100.29574571730124</v>
      </c>
      <c r="E7" s="74">
        <f>D7+E6</f>
        <v>489.03894617195721</v>
      </c>
      <c r="F7" s="64"/>
    </row>
    <row r="8" spans="2:6">
      <c r="B8" s="75"/>
      <c r="D8" s="76"/>
      <c r="E8" s="77">
        <f>E7+C9</f>
        <v>509.03894617195721</v>
      </c>
    </row>
    <row r="9" spans="2:6">
      <c r="B9" s="78"/>
      <c r="C9" s="79">
        <v>20</v>
      </c>
      <c r="D9" s="80"/>
      <c r="E9" s="81">
        <f>D6/$E$3</f>
        <v>0.18538063922491937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1571.7188730141584</v>
      </c>
      <c r="D11" s="67">
        <v>0</v>
      </c>
      <c r="E11" s="68" t="s">
        <v>30</v>
      </c>
    </row>
    <row r="12" spans="2:6">
      <c r="B12" s="69">
        <v>2646</v>
      </c>
      <c r="C12" s="70">
        <v>2421</v>
      </c>
      <c r="D12" s="70">
        <f>B12-C12</f>
        <v>225</v>
      </c>
      <c r="E12" s="74">
        <f>D12*$E$4</f>
        <v>638.44686206056633</v>
      </c>
    </row>
    <row r="13" spans="2:6">
      <c r="B13" s="72">
        <f>'07-22'!C11</f>
        <v>1321.7030818312405</v>
      </c>
      <c r="C13" s="73">
        <v>0.3916</v>
      </c>
      <c r="D13" s="64">
        <f>(D12*$E$4*C13)</f>
        <v>250.01579118291778</v>
      </c>
      <c r="E13" s="74">
        <f>D13+E12</f>
        <v>888.46265324348406</v>
      </c>
    </row>
    <row r="14" spans="2:6">
      <c r="B14" s="75"/>
      <c r="C14" s="86"/>
      <c r="D14" s="76"/>
      <c r="E14" s="77">
        <f>E13+C15</f>
        <v>938.46265324348406</v>
      </c>
    </row>
    <row r="15" spans="2:6">
      <c r="B15" s="78"/>
      <c r="C15" s="79">
        <v>50</v>
      </c>
      <c r="D15" s="80"/>
      <c r="E15" s="81">
        <f>D12/$E$3</f>
        <v>0.30445725420150993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803</v>
      </c>
      <c r="C18" s="89">
        <v>762</v>
      </c>
      <c r="D18" s="89">
        <f>B18-C18</f>
        <v>41</v>
      </c>
      <c r="E18" s="90">
        <f>D18*$E$4</f>
        <v>116.33920597548098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116.33920597548098</v>
      </c>
    </row>
    <row r="20" spans="2:5">
      <c r="B20" s="75"/>
      <c r="D20" s="76"/>
      <c r="E20" s="77">
        <f>E19+C21</f>
        <v>126.33920597548098</v>
      </c>
    </row>
    <row r="21" spans="2:5">
      <c r="B21" s="78"/>
      <c r="C21" s="79">
        <v>10</v>
      </c>
      <c r="D21" s="80"/>
      <c r="E21" s="81">
        <f>D18/$E$3</f>
        <v>5.5478877432275142E-2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500.11057928529181</v>
      </c>
      <c r="D23" s="67">
        <v>0</v>
      </c>
      <c r="E23" s="68" t="s">
        <v>30</v>
      </c>
    </row>
    <row r="24" spans="2:5">
      <c r="B24" s="92">
        <f>E3-D6-D12-D18-D36-D30</f>
        <v>234.02000000000044</v>
      </c>
      <c r="C24" s="70"/>
      <c r="D24" s="70">
        <f>B24-C24</f>
        <v>234.02000000000044</v>
      </c>
      <c r="E24" s="93">
        <f>D24*$E$4</f>
        <v>664.04148737517346</v>
      </c>
    </row>
    <row r="25" spans="2:5">
      <c r="B25" s="72">
        <f>'06-22'!C23</f>
        <v>250.09895928853902</v>
      </c>
      <c r="C25" s="73">
        <v>0.3765</v>
      </c>
      <c r="D25" s="94">
        <f>(D24*$E$4*C25)</f>
        <v>250.01161999675281</v>
      </c>
      <c r="E25" s="74">
        <f>D25+E24</f>
        <v>914.05310737192622</v>
      </c>
    </row>
    <row r="26" spans="2:5">
      <c r="B26" s="75"/>
      <c r="C26" s="16"/>
      <c r="D26" s="95"/>
      <c r="E26" s="77">
        <f>E25+C27</f>
        <v>934.05310737192622</v>
      </c>
    </row>
    <row r="27" spans="2:5">
      <c r="B27" s="78"/>
      <c r="C27" s="79">
        <v>20</v>
      </c>
      <c r="D27" s="80"/>
      <c r="E27" s="81">
        <f>D24/$E$3</f>
        <v>0.31666260723661105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4709</v>
      </c>
      <c r="C30" s="70">
        <v>4642</v>
      </c>
      <c r="D30" s="70">
        <f>B30-C30</f>
        <v>67</v>
      </c>
      <c r="E30" s="93">
        <f>D30*$E$4</f>
        <v>190.11528781359087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190.11528781359087</v>
      </c>
    </row>
    <row r="32" spans="2:5">
      <c r="B32" s="75"/>
      <c r="D32" s="76"/>
      <c r="E32" s="77">
        <f>E31+C33</f>
        <v>220.11528781359087</v>
      </c>
    </row>
    <row r="33" spans="2:5">
      <c r="B33" s="78">
        <f>C33-D33</f>
        <v>30</v>
      </c>
      <c r="C33" s="79">
        <v>30</v>
      </c>
      <c r="D33" s="80"/>
      <c r="E33" s="81">
        <f>D30/$E$3</f>
        <v>9.0660604584449619E-2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7271</v>
      </c>
      <c r="C36" s="89">
        <v>7236</v>
      </c>
      <c r="D36" s="89">
        <f>B36-C36+J39</f>
        <v>35</v>
      </c>
      <c r="E36" s="97">
        <f>D36*$E$4</f>
        <v>99.31395632053254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109.31395632053254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739.02000000000044</v>
      </c>
      <c r="D40" s="103">
        <f>E8+E14+E20+E26+E32+E37</f>
        <v>2837.3231568969718</v>
      </c>
      <c r="E40" s="7">
        <f>E36+E30+E24+E18+E12+E6</f>
        <v>2097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1242.6790000000001</v>
      </c>
      <c r="C3" s="59">
        <v>1225.116</v>
      </c>
      <c r="D3" s="60">
        <f>B3-C3</f>
        <v>17.563000000000102</v>
      </c>
      <c r="E3" s="60">
        <f>D3*$E$1</f>
        <v>1053.7800000000061</v>
      </c>
    </row>
    <row r="4" spans="2:6">
      <c r="B4" s="61" t="s">
        <v>27</v>
      </c>
      <c r="C4" s="62">
        <v>3656</v>
      </c>
      <c r="D4" s="61" t="s">
        <v>28</v>
      </c>
      <c r="E4" s="63">
        <f>C4/E3</f>
        <v>3.4694148683785788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120387</v>
      </c>
      <c r="C6" s="70">
        <v>120152</v>
      </c>
      <c r="D6" s="70">
        <f>B6-C6</f>
        <v>235</v>
      </c>
      <c r="E6" s="71">
        <f>D6*$E$4</f>
        <v>815.31249406896598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815.31249406896598</v>
      </c>
      <c r="F7" s="64"/>
    </row>
    <row r="8" spans="2:6">
      <c r="B8" s="75"/>
      <c r="D8" s="76"/>
      <c r="E8" s="77">
        <f>E7+C9</f>
        <v>835.31249406896598</v>
      </c>
    </row>
    <row r="9" spans="2:6">
      <c r="B9" s="78"/>
      <c r="C9" s="79">
        <v>20</v>
      </c>
      <c r="D9" s="80"/>
      <c r="E9" s="81">
        <f>D6/$E$3</f>
        <v>0.22300669969063622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1551.1965487787995</v>
      </c>
      <c r="D11" s="67">
        <v>0</v>
      </c>
      <c r="E11" s="68" t="s">
        <v>30</v>
      </c>
    </row>
    <row r="12" spans="2:6">
      <c r="B12" s="69">
        <v>2421</v>
      </c>
      <c r="C12" s="70">
        <v>2144</v>
      </c>
      <c r="D12" s="70">
        <f>B12-C12</f>
        <v>277</v>
      </c>
      <c r="E12" s="74">
        <f>D12*$E$4</f>
        <v>961.02791854086638</v>
      </c>
    </row>
    <row r="13" spans="2:6">
      <c r="B13" s="72">
        <f>'07-22'!C11</f>
        <v>1321.7030818312405</v>
      </c>
      <c r="C13" s="73">
        <v>0.23880000000000001</v>
      </c>
      <c r="D13" s="64">
        <f>(D12*$E$4*C13)</f>
        <v>229.49346694755891</v>
      </c>
      <c r="E13" s="74">
        <f>D13+E12</f>
        <v>1190.5213854884253</v>
      </c>
    </row>
    <row r="14" spans="2:6">
      <c r="B14" s="75"/>
      <c r="C14" s="86"/>
      <c r="D14" s="76"/>
      <c r="E14" s="77">
        <f>E13+C15</f>
        <v>1240.5213854884253</v>
      </c>
    </row>
    <row r="15" spans="2:6">
      <c r="B15" s="78"/>
      <c r="C15" s="79">
        <v>50</v>
      </c>
      <c r="D15" s="80"/>
      <c r="E15" s="81">
        <f>D12/$E$3</f>
        <v>0.26286321623109038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131.91519900044048</v>
      </c>
      <c r="D17" s="67"/>
      <c r="E17" s="68" t="s">
        <v>30</v>
      </c>
    </row>
    <row r="18" spans="2:5">
      <c r="B18" s="88">
        <v>762</v>
      </c>
      <c r="C18" s="89">
        <v>712</v>
      </c>
      <c r="D18" s="89">
        <f>B18-C18</f>
        <v>50</v>
      </c>
      <c r="E18" s="90">
        <f>D18*$E$4</f>
        <v>173.47074341892895</v>
      </c>
    </row>
    <row r="19" spans="2:5">
      <c r="B19" s="72">
        <f>'07-22'!C17</f>
        <v>119.67163392993248</v>
      </c>
      <c r="C19" s="73">
        <v>7.0580000000000004E-2</v>
      </c>
      <c r="D19" s="64">
        <f>(D18*$E$4*C19)</f>
        <v>12.243565070508005</v>
      </c>
      <c r="E19" s="74">
        <f>D19+E18</f>
        <v>185.71430848943695</v>
      </c>
    </row>
    <row r="20" spans="2:5">
      <c r="B20" s="75"/>
      <c r="D20" s="76"/>
      <c r="E20" s="77">
        <f>E19+C21</f>
        <v>195.71430848943695</v>
      </c>
    </row>
    <row r="21" spans="2:5">
      <c r="B21" s="78"/>
      <c r="C21" s="79">
        <v>10</v>
      </c>
      <c r="D21" s="80"/>
      <c r="E21" s="81">
        <f>D18/$E$3</f>
        <v>4.7448233976731112E-2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374.30595653046936</v>
      </c>
      <c r="D23" s="67">
        <v>0</v>
      </c>
      <c r="E23" s="68" t="s">
        <v>30</v>
      </c>
    </row>
    <row r="24" spans="2:5">
      <c r="B24" s="92">
        <f>E3-D6-D12-D18-D36-D30</f>
        <v>375.78000000000611</v>
      </c>
      <c r="C24" s="70"/>
      <c r="D24" s="70">
        <f>B24-C24</f>
        <v>375.78000000000611</v>
      </c>
      <c r="E24" s="93">
        <f>D24*$E$4</f>
        <v>1303.7367192393235</v>
      </c>
    </row>
    <row r="25" spans="2:5">
      <c r="B25" s="72">
        <f>'06-22'!C23</f>
        <v>250.09895928853902</v>
      </c>
      <c r="C25" s="73">
        <v>9.5269999999999994E-2</v>
      </c>
      <c r="D25" s="94">
        <f>(D24*$E$4*C25)</f>
        <v>124.20699724193034</v>
      </c>
      <c r="E25" s="74">
        <f>D25+E24</f>
        <v>1427.9437164812539</v>
      </c>
    </row>
    <row r="26" spans="2:5">
      <c r="B26" s="75"/>
      <c r="C26" s="16"/>
      <c r="D26" s="95"/>
      <c r="E26" s="77">
        <f>E25+C27</f>
        <v>1447.9437164812539</v>
      </c>
    </row>
    <row r="27" spans="2:5">
      <c r="B27" s="78"/>
      <c r="C27" s="79">
        <v>20</v>
      </c>
      <c r="D27" s="80"/>
      <c r="E27" s="81">
        <f>D24/$E$3</f>
        <v>0.35660194727552613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4642</v>
      </c>
      <c r="C30" s="70">
        <v>4554</v>
      </c>
      <c r="D30" s="70">
        <f>B30-C30</f>
        <v>88</v>
      </c>
      <c r="E30" s="93">
        <f>D30*$E$4</f>
        <v>305.30850841731495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305.30850841731495</v>
      </c>
    </row>
    <row r="32" spans="2:5">
      <c r="B32" s="75"/>
      <c r="D32" s="76"/>
      <c r="E32" s="77">
        <f>E31+C33</f>
        <v>335.30850841731495</v>
      </c>
    </row>
    <row r="33" spans="2:5">
      <c r="B33" s="78">
        <f>C33-D33</f>
        <v>30</v>
      </c>
      <c r="C33" s="79">
        <v>30</v>
      </c>
      <c r="D33" s="80"/>
      <c r="E33" s="81">
        <f>D30/$E$3</f>
        <v>8.3508891799046761E-2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7236</v>
      </c>
      <c r="C36" s="89">
        <v>7208</v>
      </c>
      <c r="D36" s="89">
        <f>B36-C36+J39</f>
        <v>28</v>
      </c>
      <c r="E36" s="97">
        <f>D36*$E$4</f>
        <v>97.143616314600209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107.14361631460021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1053.7800000000061</v>
      </c>
      <c r="D40" s="103">
        <f>E8+E14+E20+E26+E32+E37</f>
        <v>4161.9440292599975</v>
      </c>
      <c r="E40" s="7">
        <f>E36+E30+E24+E18+E12+E6</f>
        <v>3656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1225.116</v>
      </c>
      <c r="C3" s="59">
        <v>1209.8230000000001</v>
      </c>
      <c r="D3" s="60">
        <f>B3-C3</f>
        <v>15.292999999999893</v>
      </c>
      <c r="E3" s="60">
        <f>D3*$E$1</f>
        <v>917.57999999999356</v>
      </c>
    </row>
    <row r="4" spans="2:6">
      <c r="B4" s="61" t="s">
        <v>27</v>
      </c>
      <c r="C4" s="62">
        <v>3150</v>
      </c>
      <c r="D4" s="61" t="s">
        <v>28</v>
      </c>
      <c r="E4" s="63">
        <f>C4/E3</f>
        <v>3.4329431766167771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120152</v>
      </c>
      <c r="C6" s="70">
        <v>119886</v>
      </c>
      <c r="D6" s="70">
        <f>B6-C6</f>
        <v>266</v>
      </c>
      <c r="E6" s="71">
        <f>D6*$E$4</f>
        <v>913.1628849800627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913.1628849800627</v>
      </c>
    </row>
    <row r="8" spans="2:6">
      <c r="B8" s="75"/>
      <c r="D8" s="76"/>
      <c r="E8" s="77">
        <f>E7+C9</f>
        <v>933.1628849800627</v>
      </c>
    </row>
    <row r="9" spans="2:6">
      <c r="B9" s="78"/>
      <c r="C9" s="79">
        <v>20</v>
      </c>
      <c r="D9" s="80"/>
      <c r="E9" s="81">
        <f>D6/$E$3</f>
        <v>0.28989297935875002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1592.2190041486426</v>
      </c>
      <c r="D11" s="67">
        <v>0</v>
      </c>
      <c r="E11" s="68" t="s">
        <v>30</v>
      </c>
    </row>
    <row r="12" spans="2:6">
      <c r="B12" s="69">
        <v>2144</v>
      </c>
      <c r="C12" s="70">
        <v>1947</v>
      </c>
      <c r="D12" s="70">
        <f>B12-C12</f>
        <v>197</v>
      </c>
      <c r="E12" s="74">
        <f>D12*$E$4</f>
        <v>676.28980579350502</v>
      </c>
    </row>
    <row r="13" spans="2:6">
      <c r="B13" s="72">
        <f>'07-22'!C11</f>
        <v>1321.7030818312405</v>
      </c>
      <c r="C13" s="73">
        <v>0.4</v>
      </c>
      <c r="D13" s="64">
        <f>(D12*$E$4*C13)</f>
        <v>270.51592231740204</v>
      </c>
      <c r="E13" s="74">
        <f>D13+E12</f>
        <v>946.80572811090701</v>
      </c>
    </row>
    <row r="14" spans="2:6">
      <c r="B14" s="75"/>
      <c r="C14" s="86" t="s">
        <v>47</v>
      </c>
      <c r="D14" s="76"/>
      <c r="E14" s="77">
        <f>E13+C15</f>
        <v>996.80572811090701</v>
      </c>
    </row>
    <row r="15" spans="2:6">
      <c r="B15" s="78"/>
      <c r="C15" s="79">
        <v>50</v>
      </c>
      <c r="D15" s="80"/>
      <c r="E15" s="81">
        <f>D12/$E$3</f>
        <v>0.21469517644238256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157.4333222840817</v>
      </c>
      <c r="D17" s="67"/>
      <c r="E17" s="68" t="s">
        <v>30</v>
      </c>
    </row>
    <row r="18" spans="2:5">
      <c r="B18" s="88">
        <v>712</v>
      </c>
      <c r="C18" s="89">
        <v>658</v>
      </c>
      <c r="D18" s="89">
        <f>B18-C18</f>
        <v>54</v>
      </c>
      <c r="E18" s="90">
        <f>D18*$E$4</f>
        <v>185.37893153730596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37.761688354149221</v>
      </c>
      <c r="E19" s="74">
        <f>D19+E18</f>
        <v>223.14061989145517</v>
      </c>
    </row>
    <row r="20" spans="2:5">
      <c r="B20" s="75"/>
      <c r="D20" s="76"/>
      <c r="E20" s="77">
        <f>E19+C21</f>
        <v>233.14061989145517</v>
      </c>
    </row>
    <row r="21" spans="2:5">
      <c r="B21" s="78"/>
      <c r="C21" s="79">
        <v>10</v>
      </c>
      <c r="D21" s="80"/>
      <c r="E21" s="81">
        <f>D18/$E$3</f>
        <v>5.8850454456287601E-2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350.88330506765215</v>
      </c>
      <c r="D23" s="67">
        <v>0</v>
      </c>
      <c r="E23" s="68" t="s">
        <v>30</v>
      </c>
    </row>
    <row r="24" spans="2:5">
      <c r="B24" s="92">
        <f>E3-D6-D12-D18-D36-D30</f>
        <v>293.57999999999356</v>
      </c>
      <c r="C24" s="70"/>
      <c r="D24" s="70">
        <f>B24-C24</f>
        <v>293.57999999999356</v>
      </c>
      <c r="E24" s="93">
        <f>D24*$E$4</f>
        <v>1007.8434577911313</v>
      </c>
    </row>
    <row r="25" spans="2:5">
      <c r="B25" s="72">
        <f>'06-22'!C23</f>
        <v>250.09895928853902</v>
      </c>
      <c r="C25" s="73">
        <v>0.1</v>
      </c>
      <c r="D25" s="94">
        <f>(D24*$E$4*C25)</f>
        <v>100.78434577911314</v>
      </c>
      <c r="E25" s="74">
        <f>D25+E24</f>
        <v>1108.6278035702444</v>
      </c>
    </row>
    <row r="26" spans="2:5">
      <c r="B26" s="75"/>
      <c r="C26" s="16"/>
      <c r="D26" s="95"/>
      <c r="E26" s="77">
        <f>E25+C27</f>
        <v>1128.6278035702444</v>
      </c>
    </row>
    <row r="27" spans="2:5">
      <c r="B27" s="78"/>
      <c r="C27" s="79">
        <v>20</v>
      </c>
      <c r="D27" s="80"/>
      <c r="E27" s="81">
        <f>D24/$E$3</f>
        <v>0.31995030406067659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4554</v>
      </c>
      <c r="C30" s="70">
        <v>4463</v>
      </c>
      <c r="D30" s="70">
        <f>B30-C30</f>
        <v>91</v>
      </c>
      <c r="E30" s="93">
        <f>D30*$E$4</f>
        <v>312.39782907212674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312.39782907212674</v>
      </c>
    </row>
    <row r="32" spans="2:5">
      <c r="B32" s="75"/>
      <c r="D32" s="76"/>
      <c r="E32" s="77">
        <f>E31+C33</f>
        <v>342.39782907212674</v>
      </c>
    </row>
    <row r="33" spans="2:5">
      <c r="B33" s="78">
        <f>C33-D33</f>
        <v>30</v>
      </c>
      <c r="C33" s="79">
        <v>30</v>
      </c>
      <c r="D33" s="80"/>
      <c r="E33" s="81">
        <f>D30/$E$3</f>
        <v>9.917391399115133E-2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7208</v>
      </c>
      <c r="C36" s="89">
        <v>7192</v>
      </c>
      <c r="D36" s="89">
        <f>B36-C36+J39</f>
        <v>16</v>
      </c>
      <c r="E36" s="97">
        <f>D36*$E$4</f>
        <v>54.927090825868433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64.927090825868433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917.57999999999356</v>
      </c>
      <c r="D40" s="103">
        <f>E8+E14+E20+E26+E32+E37</f>
        <v>3699.0619564506646</v>
      </c>
      <c r="E40" s="7">
        <f>E36+E30+E24+E18+E12+E6</f>
        <v>3150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1209.8230000000001</v>
      </c>
      <c r="C3" s="59">
        <v>1191.5530000000001</v>
      </c>
      <c r="D3" s="60">
        <f>B3-C3</f>
        <v>18.269999999999982</v>
      </c>
      <c r="E3" s="60">
        <f>D3*$E$1</f>
        <v>1096.1999999999989</v>
      </c>
    </row>
    <row r="4" spans="2:6">
      <c r="B4" s="61" t="s">
        <v>27</v>
      </c>
      <c r="C4" s="62">
        <v>3845</v>
      </c>
      <c r="D4" s="61" t="s">
        <v>28</v>
      </c>
      <c r="E4" s="63">
        <f>C4/E3</f>
        <v>3.5075716110198902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119886</v>
      </c>
      <c r="C6" s="70">
        <v>119531</v>
      </c>
      <c r="D6" s="70">
        <f>B6-C6</f>
        <v>355</v>
      </c>
      <c r="E6" s="71">
        <f>D6*$E$4</f>
        <v>1245.187921912061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1245.187921912061</v>
      </c>
    </row>
    <row r="8" spans="2:6">
      <c r="B8" s="75"/>
      <c r="D8" s="76"/>
      <c r="E8" s="77">
        <f>E7+C9</f>
        <v>1245.187921912061</v>
      </c>
    </row>
    <row r="9" spans="2:6">
      <c r="B9" s="78"/>
      <c r="C9" s="79"/>
      <c r="D9" s="80"/>
      <c r="E9" s="81">
        <f>D6/$E$3</f>
        <v>0.32384601350118625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1499.8915779998231</v>
      </c>
      <c r="D11" s="67">
        <v>0</v>
      </c>
      <c r="E11" s="68" t="s">
        <v>30</v>
      </c>
    </row>
    <row r="12" spans="2:6">
      <c r="B12" s="69">
        <v>1947</v>
      </c>
      <c r="C12" s="70">
        <v>1737</v>
      </c>
      <c r="D12" s="70">
        <f>B12-C12</f>
        <v>210</v>
      </c>
      <c r="E12" s="74">
        <f>D12*$E$4</f>
        <v>736.59003831417692</v>
      </c>
    </row>
    <row r="13" spans="2:6">
      <c r="B13" s="72">
        <f>'07-22'!C11</f>
        <v>1321.7030818312405</v>
      </c>
      <c r="C13" s="73">
        <v>0.24190999999999999</v>
      </c>
      <c r="D13" s="64">
        <f>(D12*$E$4*C13)</f>
        <v>178.18849616858253</v>
      </c>
      <c r="E13" s="74">
        <f>D13+E12</f>
        <v>914.77853448275948</v>
      </c>
    </row>
    <row r="14" spans="2:6">
      <c r="B14" s="75"/>
      <c r="C14" s="86" t="s">
        <v>47</v>
      </c>
      <c r="D14" s="76"/>
      <c r="E14" s="77">
        <f>E13+C15</f>
        <v>914.77853448275948</v>
      </c>
    </row>
    <row r="15" spans="2:6">
      <c r="B15" s="78"/>
      <c r="C15" s="79"/>
      <c r="D15" s="80"/>
      <c r="E15" s="81">
        <f>D12/$E$3</f>
        <v>0.19157088122605384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169.68609753146509</v>
      </c>
      <c r="D17" s="67"/>
      <c r="E17" s="68" t="s">
        <v>30</v>
      </c>
    </row>
    <row r="18" spans="2:5">
      <c r="B18" s="88">
        <v>658</v>
      </c>
      <c r="C18" s="89">
        <v>588</v>
      </c>
      <c r="D18" s="89">
        <f>B18-C18</f>
        <v>70</v>
      </c>
      <c r="E18" s="90">
        <f>D18*$E$4</f>
        <v>245.53001277139231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50.014463601532611</v>
      </c>
      <c r="E19" s="74">
        <f>D19+E18</f>
        <v>295.54447637292492</v>
      </c>
    </row>
    <row r="20" spans="2:5">
      <c r="B20" s="75"/>
      <c r="D20" s="76"/>
      <c r="E20" s="77">
        <f>E19+C21</f>
        <v>295.54447637292492</v>
      </c>
    </row>
    <row r="21" spans="2:5">
      <c r="B21" s="78"/>
      <c r="C21" s="79"/>
      <c r="D21" s="80"/>
      <c r="E21" s="81">
        <f>D18/$E$3</f>
        <v>6.3856960408684604E-2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372.58335994535321</v>
      </c>
      <c r="D23" s="67">
        <v>0</v>
      </c>
      <c r="E23" s="68" t="s">
        <v>30</v>
      </c>
    </row>
    <row r="24" spans="2:5">
      <c r="B24" s="92">
        <f>E3-D6-D12-D18-D36-D30</f>
        <v>349.19999999999891</v>
      </c>
      <c r="C24" s="70"/>
      <c r="D24" s="70">
        <f>B24-C24</f>
        <v>349.19999999999891</v>
      </c>
      <c r="E24" s="93">
        <f>D24*$E$4</f>
        <v>1224.8440065681418</v>
      </c>
    </row>
    <row r="25" spans="2:5">
      <c r="B25" s="72">
        <f>'06-22'!C23</f>
        <v>250.09895928853902</v>
      </c>
      <c r="C25" s="73">
        <v>0.1</v>
      </c>
      <c r="D25" s="94">
        <f>(D24*$E$4*C25)</f>
        <v>122.48440065681419</v>
      </c>
      <c r="E25" s="74">
        <f>D25+E24</f>
        <v>1347.328407224956</v>
      </c>
    </row>
    <row r="26" spans="2:5">
      <c r="B26" s="75"/>
      <c r="C26" s="16"/>
      <c r="D26" s="95"/>
      <c r="E26" s="77">
        <f>E25+C27</f>
        <v>1367.328407224956</v>
      </c>
    </row>
    <row r="27" spans="2:5">
      <c r="B27" s="78"/>
      <c r="C27" s="79">
        <v>20</v>
      </c>
      <c r="D27" s="80"/>
      <c r="E27" s="81">
        <f>D24/$E$3</f>
        <v>0.31855500821017996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4463</v>
      </c>
      <c r="C30" s="70">
        <v>4376</v>
      </c>
      <c r="D30" s="70">
        <f>B30-C30</f>
        <v>87</v>
      </c>
      <c r="E30" s="93">
        <f>D30*$E$4</f>
        <v>305.15873015873046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305.15873015873046</v>
      </c>
    </row>
    <row r="32" spans="2:5">
      <c r="B32" s="75"/>
      <c r="D32" s="76"/>
      <c r="E32" s="77">
        <f>E31+C33</f>
        <v>305.15873015873046</v>
      </c>
    </row>
    <row r="33" spans="2:5">
      <c r="B33" s="78">
        <f>C33-D33</f>
        <v>0</v>
      </c>
      <c r="C33" s="79"/>
      <c r="D33" s="80"/>
      <c r="E33" s="81">
        <f>D30/$E$3</f>
        <v>7.9365079365079444E-2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7192</v>
      </c>
      <c r="C36" s="89">
        <v>7167</v>
      </c>
      <c r="D36" s="89">
        <f>B36-C36+J39</f>
        <v>25</v>
      </c>
      <c r="E36" s="97">
        <f>D36*$E$4</f>
        <v>87.689290275497257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87.689290275497257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1096.1999999999989</v>
      </c>
      <c r="D40" s="103">
        <f>E8+E14+E20+E26+E32+E37</f>
        <v>4215.6873604269294</v>
      </c>
      <c r="E40" s="7">
        <f>E36+E30+E24+E18+E12+E6</f>
        <v>3845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1191.5530000000001</v>
      </c>
      <c r="C3" s="59">
        <v>1169.069</v>
      </c>
      <c r="D3" s="60">
        <f>B3-C3</f>
        <v>22.484000000000151</v>
      </c>
      <c r="E3" s="60">
        <f>D3*$E$1</f>
        <v>1349.0400000000091</v>
      </c>
    </row>
    <row r="4" spans="2:6">
      <c r="B4" s="61" t="s">
        <v>27</v>
      </c>
      <c r="C4" s="62">
        <v>4973</v>
      </c>
      <c r="D4" s="61" t="s">
        <v>28</v>
      </c>
      <c r="E4" s="63">
        <f>C4/E3</f>
        <v>3.6863250904346545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119531</v>
      </c>
      <c r="C6" s="70">
        <v>119205</v>
      </c>
      <c r="D6" s="70">
        <f>B6-C6</f>
        <v>326</v>
      </c>
      <c r="E6" s="71">
        <f>D6*$E$4</f>
        <v>1201.7419794816974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1201.7419794816974</v>
      </c>
    </row>
    <row r="8" spans="2:6">
      <c r="B8" s="75"/>
      <c r="D8" s="76"/>
      <c r="E8" s="77">
        <f>E7+C9</f>
        <v>1221.7419794816974</v>
      </c>
    </row>
    <row r="9" spans="2:6">
      <c r="B9" s="78"/>
      <c r="C9" s="79">
        <v>20</v>
      </c>
      <c r="D9" s="80"/>
      <c r="E9" s="81">
        <f>D6/$E$3</f>
        <v>0.24165332384510305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1747.6948092818693</v>
      </c>
      <c r="D11" s="67">
        <v>0</v>
      </c>
      <c r="E11" s="68" t="s">
        <v>30</v>
      </c>
    </row>
    <row r="12" spans="2:6">
      <c r="B12" s="69">
        <v>1737</v>
      </c>
      <c r="C12" s="70">
        <v>1523</v>
      </c>
      <c r="D12" s="70">
        <f>B12-C12</f>
        <v>214</v>
      </c>
      <c r="E12" s="74">
        <f>D12*$E$4</f>
        <v>788.87356935301602</v>
      </c>
    </row>
    <row r="13" spans="2:6">
      <c r="B13" s="72">
        <f>'07-22'!C11</f>
        <v>1321.7030818312405</v>
      </c>
      <c r="C13" s="73">
        <v>0.54</v>
      </c>
      <c r="D13" s="64">
        <f>(D12*$E$4*C13)</f>
        <v>425.99172745062867</v>
      </c>
      <c r="E13" s="74">
        <f>D13+E12</f>
        <v>1214.8652968036447</v>
      </c>
    </row>
    <row r="14" spans="2:6">
      <c r="B14" s="75"/>
      <c r="C14" s="86" t="s">
        <v>47</v>
      </c>
      <c r="D14" s="76"/>
      <c r="E14" s="77">
        <f>E13+C15</f>
        <v>1264.8652968036447</v>
      </c>
    </row>
    <row r="15" spans="2:6">
      <c r="B15" s="78"/>
      <c r="C15" s="79">
        <v>50</v>
      </c>
      <c r="D15" s="80"/>
      <c r="E15" s="81">
        <f>D12/$E$3</f>
        <v>0.15863132301488359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178.15591875469636</v>
      </c>
      <c r="D17" s="67"/>
      <c r="E17" s="68" t="s">
        <v>30</v>
      </c>
    </row>
    <row r="18" spans="2:5">
      <c r="B18" s="88">
        <v>588</v>
      </c>
      <c r="C18" s="89">
        <v>510</v>
      </c>
      <c r="D18" s="89">
        <f>B18-C18</f>
        <v>78</v>
      </c>
      <c r="E18" s="90">
        <f>D18*$E$4</f>
        <v>287.53335705390305</v>
      </c>
    </row>
    <row r="19" spans="2:5">
      <c r="B19" s="72">
        <f>'07-22'!C17</f>
        <v>119.67163392993248</v>
      </c>
      <c r="C19" s="73">
        <v>0.2034</v>
      </c>
      <c r="D19" s="64">
        <f>(D18*$E$4*C19)</f>
        <v>58.484284824763876</v>
      </c>
      <c r="E19" s="74">
        <f>D19+E18</f>
        <v>346.01764187866695</v>
      </c>
    </row>
    <row r="20" spans="2:5">
      <c r="B20" s="75"/>
      <c r="D20" s="76"/>
      <c r="E20" s="77">
        <f>E19+C21</f>
        <v>366.01764187866695</v>
      </c>
    </row>
    <row r="21" spans="2:5">
      <c r="B21" s="78"/>
      <c r="C21" s="79">
        <v>20</v>
      </c>
      <c r="D21" s="80"/>
      <c r="E21" s="81">
        <f>D18/$E$3</f>
        <v>5.7818893435331406E-2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382.82140784455169</v>
      </c>
      <c r="D23" s="67">
        <v>0</v>
      </c>
      <c r="E23" s="68" t="s">
        <v>30</v>
      </c>
    </row>
    <row r="24" spans="2:5">
      <c r="B24" s="92">
        <f>E3-D6-D12-D18-D36-D30</f>
        <v>360.04000000000906</v>
      </c>
      <c r="C24" s="70"/>
      <c r="D24" s="70">
        <f>B24-C24</f>
        <v>360.04000000000906</v>
      </c>
      <c r="E24" s="93">
        <f>D24*$E$4</f>
        <v>1327.2244855601264</v>
      </c>
    </row>
    <row r="25" spans="2:5">
      <c r="B25" s="72">
        <f>'06-22'!C23</f>
        <v>250.09895928853902</v>
      </c>
      <c r="C25" s="73">
        <v>0.1</v>
      </c>
      <c r="D25" s="94">
        <f>(D24*$E$4*C25)</f>
        <v>132.72244855601264</v>
      </c>
      <c r="E25" s="74">
        <f>D25+E24</f>
        <v>1459.9469341161389</v>
      </c>
    </row>
    <row r="26" spans="2:5">
      <c r="B26" s="75"/>
      <c r="C26" s="16"/>
      <c r="D26" s="95"/>
      <c r="E26" s="77">
        <f>E25+C27</f>
        <v>1479.9469341161389</v>
      </c>
    </row>
    <row r="27" spans="2:5">
      <c r="B27" s="78"/>
      <c r="C27" s="79">
        <v>20</v>
      </c>
      <c r="D27" s="80"/>
      <c r="E27" s="81">
        <f>D24/$E$3</f>
        <v>0.26688608195458002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4376</v>
      </c>
      <c r="C30" s="70">
        <v>4052</v>
      </c>
      <c r="D30" s="70">
        <f>B30-C30</f>
        <v>324</v>
      </c>
      <c r="E30" s="93">
        <f>D30*$E$4</f>
        <v>1194.369329300828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1194.369329300828</v>
      </c>
    </row>
    <row r="32" spans="2:5">
      <c r="B32" s="75"/>
      <c r="D32" s="76"/>
      <c r="E32" s="77">
        <f>E31+C33</f>
        <v>1214.369329300828</v>
      </c>
    </row>
    <row r="33" spans="2:5">
      <c r="B33" s="78">
        <f>C33-D33</f>
        <v>20</v>
      </c>
      <c r="C33" s="79">
        <v>20</v>
      </c>
      <c r="D33" s="80"/>
      <c r="E33" s="81">
        <f>D30/$E$3</f>
        <v>0.24017078811599199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7167</v>
      </c>
      <c r="C36" s="89">
        <v>7120</v>
      </c>
      <c r="D36" s="89">
        <f>B36-C36+J39</f>
        <v>47</v>
      </c>
      <c r="E36" s="97">
        <f>D36*$E$4</f>
        <v>173.25727925042875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183.25727925042875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1349.0400000000091</v>
      </c>
      <c r="D40" s="103">
        <f>E8+E14+E20+E26+E32+E37</f>
        <v>5730.1984608314042</v>
      </c>
      <c r="E40" s="7">
        <f>E36+E30+E24+E18+E12+E6</f>
        <v>4973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1:I35"/>
  <sheetViews>
    <sheetView workbookViewId="0"/>
  </sheetViews>
  <sheetFormatPr defaultRowHeight="12.75"/>
  <cols>
    <col min="1" max="1" width="3.7109375" customWidth="1"/>
    <col min="2" max="2" width="12.7109375" customWidth="1"/>
    <col min="3" max="5" width="12.140625" customWidth="1"/>
    <col min="6" max="6" width="7.85546875" customWidth="1"/>
    <col min="7" max="9" width="12.140625" customWidth="1"/>
    <col min="10" max="10" width="9.140625" customWidth="1"/>
  </cols>
  <sheetData>
    <row r="1" spans="2:9" ht="18">
      <c r="B1" s="117" t="s">
        <v>48</v>
      </c>
      <c r="E1">
        <v>60</v>
      </c>
    </row>
    <row r="2" spans="2:9">
      <c r="B2" s="55">
        <v>44561</v>
      </c>
      <c r="C2" s="56">
        <v>44550</v>
      </c>
      <c r="D2" s="57" t="s">
        <v>25</v>
      </c>
      <c r="E2" s="57" t="s">
        <v>26</v>
      </c>
    </row>
    <row r="3" spans="2:9">
      <c r="B3" s="118">
        <v>1039.1289999999999</v>
      </c>
      <c r="C3" s="119">
        <v>1023.101</v>
      </c>
      <c r="D3" s="60">
        <f>B3-C3</f>
        <v>16.027999999999906</v>
      </c>
      <c r="E3" s="60">
        <f>D3*$E$1</f>
        <v>961.67999999999438</v>
      </c>
    </row>
    <row r="4" spans="2:9">
      <c r="B4" s="61" t="s">
        <v>27</v>
      </c>
      <c r="C4" s="62">
        <v>1250.4000000000001</v>
      </c>
      <c r="D4" s="61" t="s">
        <v>28</v>
      </c>
      <c r="E4" s="63">
        <f>C4/E3</f>
        <v>1.3002246069378665</v>
      </c>
      <c r="I4" s="57"/>
    </row>
    <row r="5" spans="2:9">
      <c r="C5" s="103">
        <f>E9+E14+E19+E24+E29+E34</f>
        <v>1312.92</v>
      </c>
      <c r="D5" t="s">
        <v>49</v>
      </c>
    </row>
    <row r="6" spans="2:9">
      <c r="B6" s="65" t="s">
        <v>50</v>
      </c>
      <c r="C6" s="66">
        <f>B8+D8+C10-D10</f>
        <v>97.727459445969629</v>
      </c>
      <c r="D6" s="67">
        <v>1200</v>
      </c>
      <c r="E6" s="68" t="s">
        <v>30</v>
      </c>
    </row>
    <row r="7" spans="2:9">
      <c r="B7" s="69">
        <v>3134</v>
      </c>
      <c r="C7" s="120">
        <v>2915</v>
      </c>
      <c r="D7" s="70">
        <f>B7-C7</f>
        <v>219</v>
      </c>
      <c r="E7" s="71">
        <f>D7*$E$4</f>
        <v>284.74918891939274</v>
      </c>
    </row>
    <row r="8" spans="2:9">
      <c r="B8" s="96">
        <v>83.49</v>
      </c>
      <c r="C8" s="73">
        <v>0.05</v>
      </c>
      <c r="D8" s="64">
        <f>(D7*$E$4*C8)</f>
        <v>14.237459445969638</v>
      </c>
      <c r="E8" s="74">
        <f>D8+E7</f>
        <v>298.98664836536238</v>
      </c>
    </row>
    <row r="9" spans="2:9">
      <c r="B9" s="75"/>
      <c r="D9" s="76"/>
      <c r="E9" s="121">
        <f>E8+C10-D10</f>
        <v>298.98664836536238</v>
      </c>
    </row>
    <row r="10" spans="2:9">
      <c r="B10" s="122">
        <f>C10-D10</f>
        <v>0</v>
      </c>
      <c r="C10" s="123">
        <v>0</v>
      </c>
      <c r="D10" s="124">
        <v>0</v>
      </c>
      <c r="E10" s="125">
        <f>D7/$E$3</f>
        <v>0.22772647866234225</v>
      </c>
    </row>
    <row r="11" spans="2:9">
      <c r="B11" s="65" t="s">
        <v>31</v>
      </c>
      <c r="C11" s="66">
        <f>B13+D13+C15-D15</f>
        <v>263.31518842026469</v>
      </c>
      <c r="D11" s="67">
        <v>0</v>
      </c>
      <c r="E11" s="68" t="s">
        <v>30</v>
      </c>
    </row>
    <row r="12" spans="2:9">
      <c r="B12" s="126">
        <v>7928</v>
      </c>
      <c r="C12" s="127">
        <v>7466</v>
      </c>
      <c r="D12" s="60">
        <f>B12-C12</f>
        <v>462</v>
      </c>
      <c r="E12" s="93">
        <f>D12*$E$4</f>
        <v>600.70376840529434</v>
      </c>
    </row>
    <row r="13" spans="2:9">
      <c r="B13" s="96">
        <v>233.28</v>
      </c>
      <c r="C13" s="73">
        <v>0.05</v>
      </c>
      <c r="D13" s="64">
        <f>(D12*$E$4*C13)</f>
        <v>30.035188420264717</v>
      </c>
      <c r="E13" s="74">
        <f>D13+E12</f>
        <v>630.73895682555906</v>
      </c>
    </row>
    <row r="14" spans="2:9">
      <c r="B14" s="75"/>
      <c r="D14" s="76"/>
      <c r="E14" s="121">
        <f>E13+C15-D15</f>
        <v>630.73895682555906</v>
      </c>
    </row>
    <row r="15" spans="2:9">
      <c r="B15" s="122">
        <f>C15-D15</f>
        <v>0</v>
      </c>
      <c r="C15" s="123">
        <v>0</v>
      </c>
      <c r="D15" s="124">
        <v>0</v>
      </c>
      <c r="E15" s="128">
        <f>D12/$E$3</f>
        <v>0.48040928375343428</v>
      </c>
    </row>
    <row r="16" spans="2:9">
      <c r="B16" s="65" t="s">
        <v>51</v>
      </c>
      <c r="C16" s="66">
        <f>B18+D18+C20-D20</f>
        <v>30.966094334913599</v>
      </c>
      <c r="D16" s="67">
        <v>1000</v>
      </c>
      <c r="E16" s="68" t="s">
        <v>30</v>
      </c>
    </row>
    <row r="17" spans="2:5">
      <c r="B17" s="129">
        <f>E3</f>
        <v>961.67999999999438</v>
      </c>
      <c r="C17" s="130">
        <f>D12+D7+D32</f>
        <v>793</v>
      </c>
      <c r="D17" s="131">
        <f>B17-C17</f>
        <v>168.67999999999438</v>
      </c>
      <c r="E17" s="90">
        <f>D17*$E$4</f>
        <v>219.32188669827201</v>
      </c>
    </row>
    <row r="18" spans="2:5">
      <c r="B18" s="96">
        <v>20</v>
      </c>
      <c r="C18" s="73">
        <v>0.05</v>
      </c>
      <c r="D18" s="64">
        <f>(D17*$E$4*C18)</f>
        <v>10.966094334913601</v>
      </c>
      <c r="E18" s="74">
        <f>D18+E17</f>
        <v>230.28798103318562</v>
      </c>
    </row>
    <row r="19" spans="2:5">
      <c r="B19" s="75"/>
      <c r="D19" s="76"/>
      <c r="E19" s="121">
        <f>E18+C20-D20</f>
        <v>230.28798103318562</v>
      </c>
    </row>
    <row r="20" spans="2:5">
      <c r="B20" s="122">
        <f>C20-D20</f>
        <v>0</v>
      </c>
      <c r="C20" s="132">
        <v>0</v>
      </c>
      <c r="D20" s="133">
        <v>0</v>
      </c>
      <c r="E20" s="128">
        <f>D17/$E$3</f>
        <v>0.17540138091672425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126">
        <v>0</v>
      </c>
      <c r="C22" s="127">
        <v>0</v>
      </c>
      <c r="D22" s="60">
        <f>B22-C22</f>
        <v>0</v>
      </c>
      <c r="E22" s="93">
        <f>D22*$E$4</f>
        <v>0</v>
      </c>
    </row>
    <row r="23" spans="2:5">
      <c r="B23" s="96"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C25-D25</f>
        <v>0</v>
      </c>
      <c r="C25" s="123">
        <v>0</v>
      </c>
      <c r="D25" s="124">
        <v>0</v>
      </c>
      <c r="E25" s="128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126">
        <v>0</v>
      </c>
      <c r="C27" s="127">
        <v>0</v>
      </c>
      <c r="D27" s="60">
        <f>B27-C27</f>
        <v>0</v>
      </c>
      <c r="E27" s="93">
        <f>D27*$E$4</f>
        <v>0</v>
      </c>
    </row>
    <row r="28" spans="2:5">
      <c r="B28" s="96"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C30-D30</f>
        <v>0</v>
      </c>
      <c r="C30" s="123">
        <v>0</v>
      </c>
      <c r="D30" s="124">
        <v>0</v>
      </c>
      <c r="E30" s="128">
        <f>D27/$E$3</f>
        <v>0</v>
      </c>
    </row>
    <row r="31" spans="2:5">
      <c r="B31" s="134" t="s">
        <v>35</v>
      </c>
      <c r="C31" s="66">
        <f>B33+D33+C35-D35</f>
        <v>7.2812577988520522</v>
      </c>
      <c r="D31" s="135">
        <v>6700</v>
      </c>
      <c r="E31" s="136" t="s">
        <v>30</v>
      </c>
    </row>
    <row r="32" spans="2:5">
      <c r="B32" s="137">
        <v>6818</v>
      </c>
      <c r="C32" s="138">
        <v>6706</v>
      </c>
      <c r="D32" s="131">
        <f>B32-C32</f>
        <v>112</v>
      </c>
      <c r="E32" s="90">
        <f>D32*$E$4</f>
        <v>145.62515597704103</v>
      </c>
    </row>
    <row r="33" spans="2:5">
      <c r="B33" s="96"/>
      <c r="C33" s="73">
        <v>0.05</v>
      </c>
      <c r="D33" s="64">
        <f>(D32*$E$4*C33)</f>
        <v>7.2812577988520522</v>
      </c>
      <c r="E33" s="74">
        <f>D33+E32</f>
        <v>152.90641377589307</v>
      </c>
    </row>
    <row r="34" spans="2:5">
      <c r="B34" s="75"/>
      <c r="D34" s="76"/>
      <c r="E34" s="121">
        <f>E33+C35-D35</f>
        <v>152.90641377589307</v>
      </c>
    </row>
    <row r="35" spans="2:5">
      <c r="B35" s="122">
        <f>C35-D35</f>
        <v>0</v>
      </c>
      <c r="C35" s="132">
        <v>0</v>
      </c>
      <c r="D35" s="133">
        <v>0</v>
      </c>
      <c r="E35" s="128">
        <f>D32/$E$3</f>
        <v>0.11646285666749923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B1:E35"/>
  <sheetViews>
    <sheetView workbookViewId="0"/>
  </sheetViews>
  <sheetFormatPr defaultRowHeight="12.75"/>
  <cols>
    <col min="1" max="1" width="4.28515625" customWidth="1"/>
    <col min="2" max="2" width="14" customWidth="1"/>
    <col min="3" max="3" width="13.42578125" customWidth="1"/>
    <col min="4" max="4" width="11.140625" customWidth="1"/>
    <col min="5" max="5" width="12.7109375" customWidth="1"/>
    <col min="6" max="6" width="11.85546875" customWidth="1"/>
    <col min="7" max="7" width="9.140625" customWidth="1"/>
  </cols>
  <sheetData>
    <row r="1" spans="2:5" ht="18">
      <c r="B1" s="117" t="s">
        <v>54</v>
      </c>
      <c r="E1">
        <v>60</v>
      </c>
    </row>
    <row r="2" spans="2:5">
      <c r="B2" s="55">
        <v>44592</v>
      </c>
      <c r="C2" s="56">
        <v>44561</v>
      </c>
      <c r="D2" s="57" t="s">
        <v>25</v>
      </c>
      <c r="E2" s="57" t="s">
        <v>26</v>
      </c>
    </row>
    <row r="3" spans="2:5">
      <c r="B3" s="58">
        <v>1053.2139999999999</v>
      </c>
      <c r="C3" s="59">
        <f>'01-22'!B3</f>
        <v>1039.1289999999999</v>
      </c>
      <c r="D3" s="60">
        <f>B3-C3</f>
        <v>14.085000000000036</v>
      </c>
      <c r="E3" s="60">
        <f>D3*$E$1</f>
        <v>845.10000000000218</v>
      </c>
    </row>
    <row r="4" spans="2:5">
      <c r="B4" s="61" t="s">
        <v>27</v>
      </c>
      <c r="C4" s="62">
        <v>2315</v>
      </c>
      <c r="D4" s="61" t="s">
        <v>28</v>
      </c>
      <c r="E4" s="63">
        <f>C4/E3</f>
        <v>2.739320790438994</v>
      </c>
    </row>
    <row r="5" spans="2:5">
      <c r="C5" s="103">
        <f>E9+E14+E19+E24+E29+E34</f>
        <v>2546.5</v>
      </c>
      <c r="D5" t="s">
        <v>49</v>
      </c>
    </row>
    <row r="6" spans="2:5">
      <c r="B6" s="65" t="s">
        <v>50</v>
      </c>
      <c r="C6" s="66">
        <f>B8+D8+C10-D10</f>
        <v>144.02198080438865</v>
      </c>
      <c r="D6" s="67">
        <v>1200</v>
      </c>
      <c r="E6" s="68" t="s">
        <v>30</v>
      </c>
    </row>
    <row r="7" spans="2:5">
      <c r="B7" s="69">
        <v>3303</v>
      </c>
      <c r="C7" s="70">
        <f>'01-22'!B7</f>
        <v>3134</v>
      </c>
      <c r="D7" s="70">
        <f>B7-C7</f>
        <v>169</v>
      </c>
      <c r="E7" s="71">
        <f>D7*$E$4</f>
        <v>462.94521358419001</v>
      </c>
    </row>
    <row r="8" spans="2:5">
      <c r="B8" s="96">
        <f>'01-22'!C6</f>
        <v>97.727459445969629</v>
      </c>
      <c r="C8" s="73">
        <v>0.1</v>
      </c>
      <c r="D8" s="64">
        <f>(D7*$E$4*C8)</f>
        <v>46.294521358419004</v>
      </c>
      <c r="E8" s="74">
        <f>D8+E7</f>
        <v>509.239734942609</v>
      </c>
    </row>
    <row r="9" spans="2:5">
      <c r="B9" s="75"/>
      <c r="D9" s="76"/>
      <c r="E9" s="121">
        <f>E8+C10-D10</f>
        <v>509.239734942609</v>
      </c>
    </row>
    <row r="10" spans="2:5">
      <c r="B10" s="122">
        <f>'01-22'!B10+C10-D10</f>
        <v>0</v>
      </c>
      <c r="C10" s="123">
        <v>0</v>
      </c>
      <c r="D10" s="124">
        <v>0</v>
      </c>
      <c r="E10" s="128">
        <f>D7/$E$3</f>
        <v>0.19997633416163715</v>
      </c>
    </row>
    <row r="11" spans="2:5">
      <c r="B11" s="65" t="s">
        <v>31</v>
      </c>
      <c r="C11" s="66">
        <f>B13+D13+C15-D15</f>
        <v>398.63763546795099</v>
      </c>
      <c r="D11" s="67">
        <v>0</v>
      </c>
      <c r="E11" s="68" t="s">
        <v>30</v>
      </c>
    </row>
    <row r="12" spans="2:5">
      <c r="B12" s="69">
        <v>8422</v>
      </c>
      <c r="C12" s="70">
        <f>'01-22'!B12</f>
        <v>7928</v>
      </c>
      <c r="D12" s="70">
        <f>B12-C12</f>
        <v>494</v>
      </c>
      <c r="E12" s="93">
        <f>D12*$E$4</f>
        <v>1353.224470476863</v>
      </c>
    </row>
    <row r="13" spans="2:5">
      <c r="B13" s="96">
        <f>'01-22'!C11</f>
        <v>263.31518842026469</v>
      </c>
      <c r="C13" s="73">
        <v>0.1</v>
      </c>
      <c r="D13" s="64">
        <f>(D12*$E$4*C13)</f>
        <v>135.3224470476863</v>
      </c>
      <c r="E13" s="74">
        <f>D13+E12</f>
        <v>1488.5469175245494</v>
      </c>
    </row>
    <row r="14" spans="2:5">
      <c r="B14" s="75"/>
      <c r="D14" s="76"/>
      <c r="E14" s="121">
        <f>E13+C15-D15</f>
        <v>1488.5469175245494</v>
      </c>
    </row>
    <row r="15" spans="2:5">
      <c r="B15" s="122">
        <f>'01-22'!B15+C15-D15</f>
        <v>0</v>
      </c>
      <c r="C15" s="123">
        <v>0</v>
      </c>
      <c r="D15" s="124">
        <v>0</v>
      </c>
      <c r="E15" s="125">
        <f>D12/$E$3</f>
        <v>0.5845462075494009</v>
      </c>
    </row>
    <row r="16" spans="2:5">
      <c r="B16" s="65" t="s">
        <v>51</v>
      </c>
      <c r="C16" s="66">
        <f>B18+D18+C20-D20</f>
        <v>75.370484347930301</v>
      </c>
      <c r="D16" s="67">
        <v>1000</v>
      </c>
      <c r="E16" s="68" t="s">
        <v>30</v>
      </c>
    </row>
    <row r="17" spans="2:5">
      <c r="B17" s="139">
        <f>E3</f>
        <v>845.10000000000218</v>
      </c>
      <c r="C17" s="89">
        <f>D12+D7+D32</f>
        <v>683</v>
      </c>
      <c r="D17" s="89">
        <f>B17-C17</f>
        <v>162.10000000000218</v>
      </c>
      <c r="E17" s="90">
        <f>D17*$E$4</f>
        <v>444.04390013016689</v>
      </c>
    </row>
    <row r="18" spans="2:5">
      <c r="B18" s="96">
        <f>'01-22'!C16</f>
        <v>30.966094334913599</v>
      </c>
      <c r="C18" s="73">
        <v>0.1</v>
      </c>
      <c r="D18" s="64">
        <f>(D17*$E$4*C18)</f>
        <v>44.404390013016695</v>
      </c>
      <c r="E18" s="74">
        <f>D18+E17</f>
        <v>488.44829014318361</v>
      </c>
    </row>
    <row r="19" spans="2:5">
      <c r="B19" s="75"/>
      <c r="D19" s="76"/>
      <c r="E19" s="121">
        <f>E18+C20-D20</f>
        <v>488.44829014318361</v>
      </c>
    </row>
    <row r="20" spans="2:5">
      <c r="B20" s="122">
        <f>'01-22'!B20+C20-D20</f>
        <v>0</v>
      </c>
      <c r="C20" s="132">
        <v>0</v>
      </c>
      <c r="D20" s="133">
        <v>0</v>
      </c>
      <c r="E20" s="125">
        <f>D17/$E$3</f>
        <v>0.19181161992663798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69">
        <v>0</v>
      </c>
      <c r="C22" s="70">
        <f>'01-22'!B22</f>
        <v>0</v>
      </c>
      <c r="D22" s="70">
        <f>B22-C22</f>
        <v>0</v>
      </c>
      <c r="E22" s="93">
        <f>D22*$E$4</f>
        <v>0</v>
      </c>
    </row>
    <row r="23" spans="2:5">
      <c r="B23" s="96">
        <f>'01-22'!C21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'01-22'!B25+C25-D25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'01-22'!B27</f>
        <v>0</v>
      </c>
      <c r="D27" s="70">
        <f>B27-C27</f>
        <v>0</v>
      </c>
      <c r="E27" s="93">
        <f>D27*$E$4</f>
        <v>0</v>
      </c>
    </row>
    <row r="28" spans="2:5">
      <c r="B28" s="96">
        <f>'01-22'!C26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12.75989937973004</v>
      </c>
      <c r="D31" s="67">
        <v>6700</v>
      </c>
      <c r="E31" s="68" t="s">
        <v>30</v>
      </c>
    </row>
    <row r="32" spans="2:5">
      <c r="B32" s="69">
        <v>6838</v>
      </c>
      <c r="C32" s="70">
        <f>'01-22'!B32</f>
        <v>6818</v>
      </c>
      <c r="D32" s="70">
        <f>B32-C32</f>
        <v>20</v>
      </c>
      <c r="E32" s="93">
        <f>D32*$E$4</f>
        <v>54.786415808779878</v>
      </c>
    </row>
    <row r="33" spans="2:5">
      <c r="B33" s="96">
        <f>'01-22'!C31</f>
        <v>7.2812577988520522</v>
      </c>
      <c r="C33" s="73">
        <v>0.1</v>
      </c>
      <c r="D33" s="64">
        <f>(D32*$E$4*C33)</f>
        <v>5.478641580877988</v>
      </c>
      <c r="E33" s="74">
        <f>D33+E32</f>
        <v>60.265057389657869</v>
      </c>
    </row>
    <row r="34" spans="2:5">
      <c r="B34" s="75"/>
      <c r="D34" s="76"/>
      <c r="E34" s="121">
        <f>E33+C35-D35</f>
        <v>60.265057389657869</v>
      </c>
    </row>
    <row r="35" spans="2:5">
      <c r="B35" s="122">
        <f>'01-22'!B35+C35-D35</f>
        <v>0</v>
      </c>
      <c r="C35" s="132">
        <v>0</v>
      </c>
      <c r="D35" s="133">
        <v>0</v>
      </c>
      <c r="E35" s="125">
        <f>D32/$E$3</f>
        <v>2.3665838362323926E-2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E35"/>
  <sheetViews>
    <sheetView workbookViewId="0"/>
  </sheetViews>
  <sheetFormatPr defaultRowHeight="12.75"/>
  <cols>
    <col min="1" max="1" width="3.5703125" customWidth="1"/>
    <col min="2" max="2" width="13.28515625" customWidth="1"/>
    <col min="3" max="3" width="13.85546875" customWidth="1"/>
    <col min="4" max="5" width="12.140625" customWidth="1"/>
    <col min="6" max="6" width="9.140625" customWidth="1"/>
  </cols>
  <sheetData>
    <row r="1" spans="2:5" ht="18">
      <c r="B1" s="117" t="s">
        <v>55</v>
      </c>
      <c r="E1">
        <v>60</v>
      </c>
    </row>
    <row r="2" spans="2:5">
      <c r="B2" s="55">
        <v>44620</v>
      </c>
      <c r="C2" s="56">
        <v>44592</v>
      </c>
      <c r="D2" s="57" t="s">
        <v>25</v>
      </c>
      <c r="E2" s="57" t="s">
        <v>26</v>
      </c>
    </row>
    <row r="3" spans="2:5">
      <c r="B3" s="58">
        <v>1062.999</v>
      </c>
      <c r="C3" s="59">
        <f>'02-22'!B3</f>
        <v>1053.2139999999999</v>
      </c>
      <c r="D3" s="60">
        <f>B3-C3</f>
        <v>9.7850000000000819</v>
      </c>
      <c r="E3" s="60">
        <f>D3*$E$1</f>
        <v>587.10000000000491</v>
      </c>
    </row>
    <row r="4" spans="2:5">
      <c r="B4" s="61" t="s">
        <v>27</v>
      </c>
      <c r="C4" s="62">
        <v>1608.4</v>
      </c>
      <c r="D4" s="61" t="s">
        <v>28</v>
      </c>
      <c r="E4" s="63">
        <f>C4/E3</f>
        <v>2.7395673650144552</v>
      </c>
    </row>
    <row r="5" spans="2:5">
      <c r="C5" s="103">
        <f>E9+E14+E19+E24+E29+E34</f>
        <v>1839.24</v>
      </c>
      <c r="D5" t="s">
        <v>49</v>
      </c>
    </row>
    <row r="6" spans="2:5">
      <c r="B6" s="65" t="s">
        <v>50</v>
      </c>
      <c r="C6" s="66">
        <f>B8+D8+C10-D10</f>
        <v>196.34887571155923</v>
      </c>
      <c r="D6" s="67">
        <v>1200</v>
      </c>
      <c r="E6" s="68" t="s">
        <v>30</v>
      </c>
    </row>
    <row r="7" spans="2:5">
      <c r="B7" s="69">
        <v>3421</v>
      </c>
      <c r="C7" s="70">
        <f>'02-22'!B7</f>
        <v>3303</v>
      </c>
      <c r="D7" s="70">
        <f>B7-C7</f>
        <v>118</v>
      </c>
      <c r="E7" s="71">
        <f>D7*$E$4</f>
        <v>323.26894907170572</v>
      </c>
    </row>
    <row r="8" spans="2:5">
      <c r="B8" s="96">
        <f>'02-22'!C6</f>
        <v>144.02198080438865</v>
      </c>
      <c r="C8" s="73">
        <v>0.1</v>
      </c>
      <c r="D8" s="64">
        <f>(D7*$E$4*C8)</f>
        <v>32.326894907170576</v>
      </c>
      <c r="E8" s="74">
        <f>D8+E7</f>
        <v>355.5958439788763</v>
      </c>
    </row>
    <row r="9" spans="2:5">
      <c r="B9" s="75"/>
      <c r="D9" s="76"/>
      <c r="E9" s="121">
        <f>E8+C10-D10</f>
        <v>375.5958439788763</v>
      </c>
    </row>
    <row r="10" spans="2:5">
      <c r="B10" s="122">
        <f>'02-22'!B10+C10-D10</f>
        <v>20</v>
      </c>
      <c r="C10" s="123">
        <v>20</v>
      </c>
      <c r="D10" s="124">
        <v>0</v>
      </c>
      <c r="E10" s="125">
        <f>D7/$E$3</f>
        <v>0.20098790665985183</v>
      </c>
    </row>
    <row r="11" spans="2:5">
      <c r="B11" s="65" t="s">
        <v>31</v>
      </c>
      <c r="C11" s="66">
        <f>B13+D13+C15-D15</f>
        <v>547.53601734497283</v>
      </c>
      <c r="D11" s="67">
        <v>0</v>
      </c>
      <c r="E11" s="68" t="s">
        <v>30</v>
      </c>
    </row>
    <row r="12" spans="2:5">
      <c r="B12" s="69">
        <v>8783</v>
      </c>
      <c r="C12" s="70">
        <f>'02-22'!B12</f>
        <v>8422</v>
      </c>
      <c r="D12" s="70">
        <f>B12-C12</f>
        <v>361</v>
      </c>
      <c r="E12" s="93">
        <f>D12*$E$4</f>
        <v>988.98381877021836</v>
      </c>
    </row>
    <row r="13" spans="2:5">
      <c r="B13" s="96">
        <f>'02-22'!C11</f>
        <v>398.63763546795099</v>
      </c>
      <c r="C13" s="73">
        <v>0.1</v>
      </c>
      <c r="D13" s="64">
        <f>(D12*$E$4*C13)</f>
        <v>98.898381877021848</v>
      </c>
      <c r="E13" s="74">
        <f>D13+E12</f>
        <v>1087.8822006472401</v>
      </c>
    </row>
    <row r="14" spans="2:5">
      <c r="B14" s="75"/>
      <c r="D14" s="76"/>
      <c r="E14" s="121">
        <f>E13+C15-D15</f>
        <v>1137.8822006472401</v>
      </c>
    </row>
    <row r="15" spans="2:5">
      <c r="B15" s="122">
        <f>'02-22'!B15+C15-D15</f>
        <v>50</v>
      </c>
      <c r="C15" s="123">
        <v>50</v>
      </c>
      <c r="D15" s="124">
        <v>0</v>
      </c>
      <c r="E15" s="125">
        <f>D12/$E$3</f>
        <v>0.61488673139158057</v>
      </c>
    </row>
    <row r="16" spans="2:5">
      <c r="B16" s="65" t="s">
        <v>51</v>
      </c>
      <c r="C16" s="66">
        <f>B18+D18+C20-D20</f>
        <v>98.684202624204659</v>
      </c>
      <c r="D16" s="67">
        <v>1000</v>
      </c>
      <c r="E16" s="68" t="s">
        <v>30</v>
      </c>
    </row>
    <row r="17" spans="2:5">
      <c r="B17" s="140">
        <f>E3</f>
        <v>587.10000000000491</v>
      </c>
      <c r="C17" s="70">
        <f>D12+D7+D32</f>
        <v>502</v>
      </c>
      <c r="D17" s="70">
        <f>B17-C17</f>
        <v>85.100000000004911</v>
      </c>
      <c r="E17" s="93">
        <f>D17*$E$4</f>
        <v>233.13718276274358</v>
      </c>
    </row>
    <row r="18" spans="2:5">
      <c r="B18" s="96">
        <f>'02-22'!C16</f>
        <v>75.370484347930301</v>
      </c>
      <c r="C18" s="73">
        <v>0.1</v>
      </c>
      <c r="D18" s="64">
        <f>(D17*$E$4*C18)</f>
        <v>23.313718276274358</v>
      </c>
      <c r="E18" s="74">
        <f>D18+E17</f>
        <v>256.45090103901794</v>
      </c>
    </row>
    <row r="19" spans="2:5">
      <c r="B19" s="75"/>
      <c r="D19" s="76"/>
      <c r="E19" s="121">
        <f>E18+C20-D20</f>
        <v>256.45090103901794</v>
      </c>
    </row>
    <row r="20" spans="2:5">
      <c r="B20" s="122">
        <f>'02-22'!B20+C20-D20</f>
        <v>0</v>
      </c>
      <c r="C20" s="123">
        <v>0</v>
      </c>
      <c r="D20" s="124">
        <v>0</v>
      </c>
      <c r="E20" s="125">
        <f>D17/$E$3</f>
        <v>0.14494975302334218</v>
      </c>
    </row>
    <row r="21" spans="2:5">
      <c r="B21" s="65" t="s">
        <v>52</v>
      </c>
      <c r="C21" s="66">
        <f>B23+D23+C25-D25</f>
        <v>0</v>
      </c>
      <c r="D21" s="67">
        <v>0</v>
      </c>
      <c r="E21" s="68" t="s">
        <v>30</v>
      </c>
    </row>
    <row r="22" spans="2:5">
      <c r="B22" s="69">
        <v>0</v>
      </c>
      <c r="C22" s="70">
        <f>'01-22'!B28</f>
        <v>0</v>
      </c>
      <c r="D22" s="70">
        <f>B22-C22</f>
        <v>0</v>
      </c>
      <c r="E22" s="93">
        <f>D22*$E$4</f>
        <v>0</v>
      </c>
    </row>
    <row r="23" spans="2:5">
      <c r="B23" s="96">
        <f>'02-22'!C21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'02-22'!B25+C25-D25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88">
        <v>0</v>
      </c>
      <c r="C27" s="89">
        <f>'01-22'!B33</f>
        <v>0</v>
      </c>
      <c r="D27" s="89">
        <f>B27-C27</f>
        <v>0</v>
      </c>
      <c r="E27" s="90">
        <f>D27*$E$4</f>
        <v>0</v>
      </c>
    </row>
    <row r="28" spans="2:5">
      <c r="B28" s="96">
        <f>'02-22'!C26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'02-22'!B30+C30-D30</f>
        <v>0</v>
      </c>
      <c r="C30" s="132">
        <v>0</v>
      </c>
      <c r="D30" s="133">
        <v>0</v>
      </c>
      <c r="E30" s="125">
        <f>D27/$E$3</f>
        <v>0</v>
      </c>
    </row>
    <row r="31" spans="2:5">
      <c r="B31" s="134" t="s">
        <v>35</v>
      </c>
      <c r="C31" s="66">
        <f>B33+D33+C35-D35</f>
        <v>19.060904319263287</v>
      </c>
      <c r="D31" s="135">
        <v>6700</v>
      </c>
      <c r="E31" s="136" t="s">
        <v>30</v>
      </c>
    </row>
    <row r="32" spans="2:5">
      <c r="B32" s="69">
        <v>6861</v>
      </c>
      <c r="C32" s="70">
        <f>'02-22'!B32</f>
        <v>6838</v>
      </c>
      <c r="D32" s="70">
        <f>B32-C32</f>
        <v>23</v>
      </c>
      <c r="E32" s="93">
        <f>D32*$E$4</f>
        <v>63.010049395332473</v>
      </c>
    </row>
    <row r="33" spans="2:5">
      <c r="B33" s="96">
        <f>'02-22'!C31</f>
        <v>12.75989937973004</v>
      </c>
      <c r="C33" s="73">
        <v>0.1</v>
      </c>
      <c r="D33" s="64">
        <f>(D32*$E$4*C33)</f>
        <v>6.3010049395332475</v>
      </c>
      <c r="E33" s="74">
        <f>D33+E32</f>
        <v>69.311054334865716</v>
      </c>
    </row>
    <row r="34" spans="2:5">
      <c r="B34" s="75"/>
      <c r="D34" s="76"/>
      <c r="E34" s="121">
        <f>E33+C35-D35</f>
        <v>69.311054334865716</v>
      </c>
    </row>
    <row r="35" spans="2:5">
      <c r="B35" s="122">
        <f>'02-22'!B35+C35-D35</f>
        <v>0</v>
      </c>
      <c r="C35" s="132">
        <v>0</v>
      </c>
      <c r="D35" s="133">
        <v>0</v>
      </c>
      <c r="E35" s="125">
        <f>D32/$E$3</f>
        <v>3.9175608925225355E-2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G35"/>
  <sheetViews>
    <sheetView workbookViewId="0"/>
  </sheetViews>
  <sheetFormatPr defaultRowHeight="12.75"/>
  <cols>
    <col min="1" max="1" width="2.7109375" customWidth="1"/>
    <col min="2" max="2" width="12.5703125" customWidth="1"/>
    <col min="3" max="3" width="13.7109375" customWidth="1"/>
    <col min="4" max="4" width="10.7109375" customWidth="1"/>
    <col min="5" max="6" width="11.7109375" customWidth="1"/>
    <col min="7" max="7" width="12.140625" customWidth="1"/>
    <col min="8" max="8" width="9.140625" customWidth="1"/>
  </cols>
  <sheetData>
    <row r="1" spans="2:7" ht="18">
      <c r="B1" s="117" t="s">
        <v>56</v>
      </c>
      <c r="E1">
        <v>60</v>
      </c>
    </row>
    <row r="2" spans="2:7">
      <c r="B2" s="55">
        <v>44651</v>
      </c>
      <c r="C2" s="56">
        <v>44620</v>
      </c>
      <c r="D2" s="57" t="s">
        <v>25</v>
      </c>
      <c r="E2" s="57" t="s">
        <v>26</v>
      </c>
    </row>
    <row r="3" spans="2:7">
      <c r="B3" s="58">
        <v>1075.8030000000001</v>
      </c>
      <c r="C3" s="59">
        <f>'03-22'!B3</f>
        <v>1062.999</v>
      </c>
      <c r="D3" s="60">
        <f>B3-C3</f>
        <v>12.804000000000087</v>
      </c>
      <c r="E3" s="60">
        <f>D3*$E$1</f>
        <v>768.24000000000524</v>
      </c>
      <c r="G3" s="57"/>
    </row>
    <row r="4" spans="2:7">
      <c r="B4" s="61" t="s">
        <v>27</v>
      </c>
      <c r="C4" s="62">
        <v>1578.43</v>
      </c>
      <c r="D4" s="61" t="s">
        <v>28</v>
      </c>
      <c r="E4" s="63">
        <f>C4/E3</f>
        <v>2.0546053316671733</v>
      </c>
    </row>
    <row r="5" spans="2:7">
      <c r="C5" s="103">
        <f>E9+E14+E19+E24+E29+E34</f>
        <v>1917.2207590492544</v>
      </c>
      <c r="D5" t="s">
        <v>49</v>
      </c>
    </row>
    <row r="6" spans="2:7">
      <c r="B6" s="65" t="s">
        <v>50</v>
      </c>
      <c r="C6" s="66">
        <f>B8+D8+C10-D10</f>
        <v>237.92223169406455</v>
      </c>
      <c r="D6" s="67">
        <v>1200</v>
      </c>
      <c r="E6" s="68" t="s">
        <v>30</v>
      </c>
    </row>
    <row r="7" spans="2:7">
      <c r="B7" s="69">
        <v>3526</v>
      </c>
      <c r="C7" s="70">
        <f>'03-22'!B7</f>
        <v>3421</v>
      </c>
      <c r="D7" s="70">
        <f>B7-C7</f>
        <v>105</v>
      </c>
      <c r="E7" s="71">
        <f>D7*$E$4</f>
        <v>215.73355982505319</v>
      </c>
    </row>
    <row r="8" spans="2:7">
      <c r="B8" s="96">
        <f>'03-22'!C6</f>
        <v>196.34887571155923</v>
      </c>
      <c r="C8" s="73">
        <v>0.1</v>
      </c>
      <c r="D8" s="64">
        <f>(D7*$E$4*C8)</f>
        <v>21.573355982505319</v>
      </c>
      <c r="E8" s="74">
        <f>D8+E7</f>
        <v>237.30691580755851</v>
      </c>
    </row>
    <row r="9" spans="2:7">
      <c r="B9" s="75"/>
      <c r="D9" s="76"/>
      <c r="E9" s="121">
        <f>E8+C10-D10</f>
        <v>257.30691580755854</v>
      </c>
    </row>
    <row r="10" spans="2:7">
      <c r="B10" s="122">
        <f>'03-22'!B10+C10-D10</f>
        <v>40</v>
      </c>
      <c r="C10" s="123">
        <v>20</v>
      </c>
      <c r="D10" s="124">
        <v>0</v>
      </c>
      <c r="E10" s="125">
        <f>D7/$E$3</f>
        <v>0.13667603873789347</v>
      </c>
    </row>
    <row r="11" spans="2:7">
      <c r="B11" s="65" t="s">
        <v>31</v>
      </c>
      <c r="C11" s="66">
        <f>B13+D13+C15-D15</f>
        <v>733.13996923500622</v>
      </c>
      <c r="D11" s="67">
        <v>0</v>
      </c>
      <c r="E11" s="68" t="s">
        <v>30</v>
      </c>
    </row>
    <row r="12" spans="2:7">
      <c r="B12" s="69">
        <v>9223</v>
      </c>
      <c r="C12" s="70">
        <f>'03-22'!B12</f>
        <v>8783</v>
      </c>
      <c r="D12" s="70">
        <f>B12-C12</f>
        <v>440</v>
      </c>
      <c r="E12" s="93">
        <f>D12*$E$4</f>
        <v>904.02634593355629</v>
      </c>
    </row>
    <row r="13" spans="2:7">
      <c r="B13" s="96">
        <f>'03-22'!C11</f>
        <v>547.53601734497283</v>
      </c>
      <c r="C13" s="73">
        <v>0.15</v>
      </c>
      <c r="D13" s="64">
        <f>(D12*$E$4*C13)</f>
        <v>135.60395189003344</v>
      </c>
      <c r="E13" s="74">
        <f>D13+E12</f>
        <v>1039.6302978235897</v>
      </c>
    </row>
    <row r="14" spans="2:7">
      <c r="B14" s="75"/>
      <c r="D14" s="76"/>
      <c r="E14" s="121">
        <f>E13+C15-D15</f>
        <v>1089.6302978235897</v>
      </c>
    </row>
    <row r="15" spans="2:7">
      <c r="B15" s="122">
        <f>'03-22'!B15+C15-D15</f>
        <v>100</v>
      </c>
      <c r="C15" s="123">
        <v>50</v>
      </c>
      <c r="D15" s="124">
        <v>0</v>
      </c>
      <c r="E15" s="125">
        <f>D12/$E$3</f>
        <v>0.57273768613974407</v>
      </c>
    </row>
    <row r="16" spans="2:7">
      <c r="B16" s="65" t="s">
        <v>51</v>
      </c>
      <c r="C16" s="66">
        <f>B18+D18+C20-D20</f>
        <v>102.49015354058504</v>
      </c>
      <c r="D16" s="67">
        <v>1000</v>
      </c>
      <c r="E16" s="68" t="s">
        <v>30</v>
      </c>
    </row>
    <row r="17" spans="2:5">
      <c r="B17" s="139">
        <f>E3</f>
        <v>768.24000000000524</v>
      </c>
      <c r="C17" s="89">
        <f>D12+D7+D32</f>
        <v>583</v>
      </c>
      <c r="D17" s="89">
        <f>B17-C17</f>
        <v>185.24000000000524</v>
      </c>
      <c r="E17" s="90">
        <f>D17*$E$4</f>
        <v>380.59509163803796</v>
      </c>
    </row>
    <row r="18" spans="2:5">
      <c r="B18" s="96">
        <f>'03-22'!C16</f>
        <v>98.684202624204659</v>
      </c>
      <c r="C18" s="73">
        <v>0.01</v>
      </c>
      <c r="D18" s="64">
        <f>(D17*$E$4*C18)</f>
        <v>3.8059509163803797</v>
      </c>
      <c r="E18" s="74">
        <f>D18+E17</f>
        <v>384.40104255441832</v>
      </c>
    </row>
    <row r="19" spans="2:5">
      <c r="B19" s="75"/>
      <c r="D19" s="76"/>
      <c r="E19" s="121">
        <f>E18+C20-D20</f>
        <v>384.40104255441832</v>
      </c>
    </row>
    <row r="20" spans="2:5">
      <c r="B20" s="122">
        <f>'03-22'!B20+C20-D20</f>
        <v>0</v>
      </c>
      <c r="C20" s="132">
        <v>0</v>
      </c>
      <c r="D20" s="133">
        <v>0</v>
      </c>
      <c r="E20" s="125">
        <f>D17/$E$3</f>
        <v>0.24112256586483907</v>
      </c>
    </row>
    <row r="21" spans="2:5">
      <c r="B21" s="134" t="s">
        <v>33</v>
      </c>
      <c r="C21" s="66">
        <f>B23+D23+C25-D25</f>
        <v>100</v>
      </c>
      <c r="D21" s="135">
        <v>0</v>
      </c>
      <c r="E21" s="136" t="s">
        <v>30</v>
      </c>
    </row>
    <row r="22" spans="2:5">
      <c r="B22" s="69">
        <v>0</v>
      </c>
      <c r="C22" s="70">
        <f>'03-22'!B22</f>
        <v>0</v>
      </c>
      <c r="D22" s="70">
        <f>B22-C22</f>
        <v>0</v>
      </c>
      <c r="E22" s="93">
        <f>D22*$E$4</f>
        <v>0</v>
      </c>
    </row>
    <row r="23" spans="2:5">
      <c r="B23" s="96">
        <f>'03-22'!C21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100</v>
      </c>
    </row>
    <row r="25" spans="2:5">
      <c r="B25" s="122">
        <f>'03-22'!B25+C25-D25</f>
        <v>100</v>
      </c>
      <c r="C25" s="123">
        <v>100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'03-22'!B27</f>
        <v>0</v>
      </c>
      <c r="D27" s="70">
        <f>B27-C27</f>
        <v>0</v>
      </c>
      <c r="E27" s="93">
        <f>D27*$E$4</f>
        <v>0</v>
      </c>
    </row>
    <row r="28" spans="2:5">
      <c r="B28" s="96">
        <f>'03-22'!C26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'03-22'!B30+C30-D30</f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26.868404579598547</v>
      </c>
      <c r="D31" s="67">
        <v>6700</v>
      </c>
      <c r="E31" s="68" t="s">
        <v>30</v>
      </c>
    </row>
    <row r="32" spans="2:5">
      <c r="B32" s="69">
        <v>6899</v>
      </c>
      <c r="C32" s="70">
        <f>'03-22'!B32</f>
        <v>6861</v>
      </c>
      <c r="D32" s="70">
        <f>B32-C32</f>
        <v>38</v>
      </c>
      <c r="E32" s="93">
        <f>D32*$E$4</f>
        <v>78.075002603352587</v>
      </c>
    </row>
    <row r="33" spans="2:5">
      <c r="B33" s="96">
        <f>'03-22'!C31</f>
        <v>19.060904319263287</v>
      </c>
      <c r="C33" s="73">
        <v>0.1</v>
      </c>
      <c r="D33" s="64">
        <f>(D32*$E$4*C33)</f>
        <v>7.8075002603352592</v>
      </c>
      <c r="E33" s="74">
        <f>D33+E32</f>
        <v>85.882502863687847</v>
      </c>
    </row>
    <row r="34" spans="2:5">
      <c r="B34" s="75"/>
      <c r="D34" s="76"/>
      <c r="E34" s="121">
        <f>E33+C35-D35</f>
        <v>85.882502863687847</v>
      </c>
    </row>
    <row r="35" spans="2:5">
      <c r="B35" s="122">
        <f>'03-22'!B35+C35-D35</f>
        <v>0</v>
      </c>
      <c r="C35" s="132">
        <v>0</v>
      </c>
      <c r="D35" s="133">
        <v>0</v>
      </c>
      <c r="E35" s="125">
        <f>D32/$E$3</f>
        <v>4.9463709257523351E-2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O35"/>
  <sheetViews>
    <sheetView workbookViewId="0"/>
  </sheetViews>
  <sheetFormatPr defaultRowHeight="12.75"/>
  <cols>
    <col min="1" max="1" width="4.140625" customWidth="1"/>
    <col min="2" max="2" width="13.28515625" customWidth="1"/>
    <col min="3" max="3" width="15" customWidth="1"/>
    <col min="4" max="4" width="12.140625" customWidth="1"/>
    <col min="5" max="5" width="12.85546875" customWidth="1"/>
    <col min="6" max="6" width="11.7109375" customWidth="1"/>
    <col min="7" max="7" width="7.28515625" customWidth="1"/>
    <col min="8" max="8" width="7.42578125" customWidth="1"/>
    <col min="9" max="11" width="12.140625" customWidth="1"/>
    <col min="12" max="12" width="10" customWidth="1"/>
    <col min="13" max="15" width="12.140625" customWidth="1"/>
    <col min="16" max="16" width="9.140625" customWidth="1"/>
  </cols>
  <sheetData>
    <row r="1" spans="2:9" ht="18">
      <c r="B1" s="117" t="s">
        <v>57</v>
      </c>
      <c r="E1">
        <v>60</v>
      </c>
    </row>
    <row r="2" spans="2:9">
      <c r="B2" s="55">
        <v>44681</v>
      </c>
      <c r="C2" s="56">
        <v>44651</v>
      </c>
      <c r="D2" s="57" t="s">
        <v>25</v>
      </c>
      <c r="E2" s="57" t="s">
        <v>26</v>
      </c>
    </row>
    <row r="3" spans="2:9">
      <c r="B3" s="58">
        <v>1086.836</v>
      </c>
      <c r="C3" s="59">
        <f>'04-22'!B3</f>
        <v>1075.8030000000001</v>
      </c>
      <c r="D3" s="60">
        <f>B3-C3</f>
        <v>11.032999999999902</v>
      </c>
      <c r="E3" s="60">
        <f>D3*$E$1</f>
        <v>661.97999999999411</v>
      </c>
      <c r="I3" s="60"/>
    </row>
    <row r="4" spans="2:9">
      <c r="B4" s="61" t="s">
        <v>27</v>
      </c>
      <c r="C4" s="62">
        <v>1360.1</v>
      </c>
      <c r="D4" s="61" t="s">
        <v>28</v>
      </c>
      <c r="E4" s="63">
        <f>C4/E3</f>
        <v>2.0545937943744708</v>
      </c>
      <c r="I4" s="60"/>
    </row>
    <row r="5" spans="2:9">
      <c r="C5" s="103">
        <f>E9+E14+E19+E24+E29+E34</f>
        <v>1658.293751774979</v>
      </c>
      <c r="D5" t="s">
        <v>49</v>
      </c>
      <c r="I5" s="60"/>
    </row>
    <row r="6" spans="2:9">
      <c r="B6" s="65" t="s">
        <v>50</v>
      </c>
      <c r="C6" s="66">
        <f>B8+D8+C10-D10</f>
        <v>230.24979446031136</v>
      </c>
      <c r="D6" s="67">
        <v>1200</v>
      </c>
      <c r="E6" s="68" t="s">
        <v>30</v>
      </c>
      <c r="F6" s="141"/>
      <c r="I6" s="141"/>
    </row>
    <row r="7" spans="2:9">
      <c r="B7" s="69">
        <v>3586</v>
      </c>
      <c r="C7" s="70">
        <f>'04-22'!B7</f>
        <v>3526</v>
      </c>
      <c r="D7" s="70">
        <f>B7-C7</f>
        <v>60</v>
      </c>
      <c r="E7" s="71">
        <f>D7*$E$4</f>
        <v>123.27562766246825</v>
      </c>
    </row>
    <row r="8" spans="2:9">
      <c r="B8" s="96">
        <f>'04-22'!C6</f>
        <v>237.92223169406455</v>
      </c>
      <c r="C8" s="73">
        <v>0.1</v>
      </c>
      <c r="D8" s="64">
        <f>(D7*$E$4*C8)</f>
        <v>12.327562766246826</v>
      </c>
      <c r="E8" s="74">
        <f>D8+E7</f>
        <v>135.60319042871507</v>
      </c>
      <c r="I8" s="60"/>
    </row>
    <row r="9" spans="2:9">
      <c r="B9" s="75"/>
      <c r="D9" s="76"/>
      <c r="E9" s="142">
        <f>E8+C10</f>
        <v>155.60319042871507</v>
      </c>
      <c r="I9" s="60"/>
    </row>
    <row r="10" spans="2:9">
      <c r="B10" s="122">
        <f>'04-22'!B10+C10-D10</f>
        <v>20</v>
      </c>
      <c r="C10" s="123">
        <v>20</v>
      </c>
      <c r="D10" s="124">
        <v>40</v>
      </c>
      <c r="E10" s="125">
        <f>D7/$E$3</f>
        <v>9.0637179370978788E-2</v>
      </c>
      <c r="F10" s="141"/>
      <c r="I10" s="141"/>
    </row>
    <row r="11" spans="2:9">
      <c r="B11" s="65" t="s">
        <v>31</v>
      </c>
      <c r="C11" s="66">
        <f>B13+D13+C15-D15</f>
        <v>847.50747278496385</v>
      </c>
      <c r="D11" s="67">
        <v>0</v>
      </c>
      <c r="E11" s="68" t="s">
        <v>30</v>
      </c>
    </row>
    <row r="12" spans="2:9">
      <c r="B12" s="69">
        <v>9623</v>
      </c>
      <c r="C12" s="70">
        <f>'04-22'!B12</f>
        <v>9223</v>
      </c>
      <c r="D12" s="70">
        <f>B12-C12</f>
        <v>400</v>
      </c>
      <c r="E12" s="93">
        <f>D12*$E$4</f>
        <v>821.83751774978828</v>
      </c>
    </row>
    <row r="13" spans="2:9">
      <c r="B13" s="96">
        <f>'04-22'!C11</f>
        <v>733.13996923500622</v>
      </c>
      <c r="C13" s="73">
        <v>0.2</v>
      </c>
      <c r="D13" s="64">
        <f>(D12*$E$4*C13)</f>
        <v>164.36750354995766</v>
      </c>
      <c r="E13" s="74">
        <f>D13+E12</f>
        <v>986.20502129974591</v>
      </c>
      <c r="I13" s="60"/>
    </row>
    <row r="14" spans="2:9">
      <c r="B14" s="75"/>
      <c r="D14" s="76"/>
      <c r="E14" s="142">
        <f>E13+C15</f>
        <v>1036.205021299746</v>
      </c>
      <c r="F14" s="141"/>
      <c r="I14" s="141"/>
    </row>
    <row r="15" spans="2:9">
      <c r="B15" s="122">
        <f>'04-22'!B15+C15-D15</f>
        <v>50</v>
      </c>
      <c r="C15" s="123">
        <v>50</v>
      </c>
      <c r="D15" s="124">
        <v>100</v>
      </c>
      <c r="E15" s="125">
        <f>D12/$E$3</f>
        <v>0.60424786247319184</v>
      </c>
    </row>
    <row r="16" spans="2:9">
      <c r="B16" s="65" t="s">
        <v>51</v>
      </c>
      <c r="C16" s="66">
        <f>B18+D18+C20-D20</f>
        <v>116.46139134233144</v>
      </c>
      <c r="D16" s="67">
        <v>1000</v>
      </c>
      <c r="E16" s="68" t="s">
        <v>30</v>
      </c>
    </row>
    <row r="17" spans="2:15">
      <c r="B17" s="88">
        <v>68</v>
      </c>
      <c r="C17" s="89">
        <v>0</v>
      </c>
      <c r="D17" s="89">
        <f>B17-C17</f>
        <v>68</v>
      </c>
      <c r="E17" s="90">
        <f>D17*$E$4</f>
        <v>139.712378017464</v>
      </c>
    </row>
    <row r="18" spans="2:15">
      <c r="B18" s="96">
        <f>'04-22'!C16</f>
        <v>102.49015354058504</v>
      </c>
      <c r="C18" s="73">
        <v>0.1</v>
      </c>
      <c r="D18" s="64">
        <f>(D17*$E$4*C18)</f>
        <v>13.971237801746401</v>
      </c>
      <c r="E18" s="74">
        <f>D18+E17</f>
        <v>153.68361581921042</v>
      </c>
    </row>
    <row r="19" spans="2:15">
      <c r="B19" s="75"/>
      <c r="D19" s="76"/>
      <c r="E19" s="142">
        <f>E18+C20</f>
        <v>153.68361581921042</v>
      </c>
    </row>
    <row r="20" spans="2:15">
      <c r="B20" s="122">
        <f>'04-22'!B20+C20-D20</f>
        <v>0</v>
      </c>
      <c r="C20" s="132">
        <v>0</v>
      </c>
      <c r="D20" s="133">
        <v>0</v>
      </c>
      <c r="E20" s="125">
        <f>D17/$E$3</f>
        <v>0.10272213662044262</v>
      </c>
    </row>
    <row r="21" spans="2:15">
      <c r="B21" s="134" t="s">
        <v>33</v>
      </c>
      <c r="C21" s="66">
        <f>B23+D23+C25-D25</f>
        <v>40.952747515029642</v>
      </c>
      <c r="D21" s="135">
        <v>0</v>
      </c>
      <c r="E21" s="136" t="s">
        <v>30</v>
      </c>
    </row>
    <row r="22" spans="2:15">
      <c r="B22" s="92">
        <f>E3-D7-D12-D17-D32</f>
        <v>101.97999999999411</v>
      </c>
      <c r="C22" s="70">
        <f>'04-22'!B22</f>
        <v>0</v>
      </c>
      <c r="D22" s="70">
        <f>B22-C22</f>
        <v>101.97999999999411</v>
      </c>
      <c r="E22" s="93">
        <f>D22*$E$4</f>
        <v>209.52747515029642</v>
      </c>
    </row>
    <row r="23" spans="2:15">
      <c r="B23" s="96">
        <f>'04-22'!C21</f>
        <v>100</v>
      </c>
      <c r="C23" s="73">
        <v>0.1</v>
      </c>
      <c r="D23" s="64">
        <f>(D22*$E$4*C23)</f>
        <v>20.952747515029642</v>
      </c>
      <c r="E23" s="74">
        <f>D23+E22</f>
        <v>230.48022266532607</v>
      </c>
      <c r="F23" s="143"/>
      <c r="G23" s="143"/>
      <c r="H23" s="143"/>
      <c r="I23" s="143"/>
      <c r="J23" s="143"/>
    </row>
    <row r="24" spans="2:15">
      <c r="B24" s="75"/>
      <c r="D24" s="76"/>
      <c r="E24" s="142">
        <f>E23+C25</f>
        <v>230.48022266532607</v>
      </c>
      <c r="F24" s="60"/>
      <c r="G24" s="60"/>
      <c r="H24" s="60"/>
      <c r="L24" s="60"/>
    </row>
    <row r="25" spans="2:15">
      <c r="B25" s="122">
        <f>'04-22'!B25+C25-D25</f>
        <v>20</v>
      </c>
      <c r="C25" s="123">
        <v>0</v>
      </c>
      <c r="D25" s="124">
        <v>80</v>
      </c>
      <c r="E25" s="125">
        <f>D22/$E$3</f>
        <v>0.15405299253753138</v>
      </c>
      <c r="H25" s="60"/>
      <c r="I25" s="60"/>
      <c r="J25" s="60"/>
      <c r="L25" s="60"/>
    </row>
    <row r="26" spans="2:15">
      <c r="B26" s="65" t="s">
        <v>53</v>
      </c>
      <c r="C26" s="66">
        <f>B28+D28+C30-D30</f>
        <v>0</v>
      </c>
      <c r="D26" s="67">
        <v>0</v>
      </c>
      <c r="E26" s="68" t="s">
        <v>30</v>
      </c>
      <c r="H26" s="60"/>
      <c r="I26" s="60"/>
      <c r="J26" s="60"/>
      <c r="L26" s="60"/>
    </row>
    <row r="27" spans="2:15">
      <c r="B27" s="69">
        <v>0</v>
      </c>
      <c r="C27" s="70">
        <f>'04-22'!B27</f>
        <v>0</v>
      </c>
      <c r="D27" s="70">
        <f>B27-C27</f>
        <v>0</v>
      </c>
      <c r="E27" s="93">
        <f>D27*$E$4</f>
        <v>0</v>
      </c>
      <c r="H27" s="144"/>
      <c r="I27" s="60"/>
      <c r="J27" s="144"/>
      <c r="L27" s="144"/>
    </row>
    <row r="28" spans="2:15">
      <c r="B28" s="96">
        <f>'04-22'!C26</f>
        <v>0</v>
      </c>
      <c r="C28" s="73">
        <v>0</v>
      </c>
      <c r="D28" s="64">
        <f>(D27*$E$4*C28)</f>
        <v>0</v>
      </c>
      <c r="E28" s="74">
        <f>D28+E27</f>
        <v>0</v>
      </c>
      <c r="N28" s="143"/>
      <c r="O28" s="143"/>
    </row>
    <row r="29" spans="2:15">
      <c r="B29" s="75"/>
      <c r="D29" s="76"/>
      <c r="E29" s="142">
        <f>E28+C30</f>
        <v>0</v>
      </c>
    </row>
    <row r="30" spans="2:15">
      <c r="B30" s="122">
        <f>'04-22'!B30+C30-D30</f>
        <v>0</v>
      </c>
      <c r="C30" s="123">
        <v>0</v>
      </c>
      <c r="D30" s="124">
        <v>0</v>
      </c>
      <c r="E30" s="125">
        <f>D27/$E$3</f>
        <v>0</v>
      </c>
    </row>
    <row r="31" spans="2:15">
      <c r="B31" s="65" t="s">
        <v>35</v>
      </c>
      <c r="C31" s="66">
        <f>B33+D33+C35-D35</f>
        <v>43.443104721596853</v>
      </c>
      <c r="D31" s="67">
        <v>6700</v>
      </c>
      <c r="E31" s="68" t="s">
        <v>30</v>
      </c>
      <c r="G31" s="60"/>
      <c r="H31" s="60"/>
      <c r="I31" s="60"/>
      <c r="J31" s="60"/>
    </row>
    <row r="32" spans="2:15">
      <c r="B32" s="69">
        <v>6931</v>
      </c>
      <c r="C32" s="70">
        <f>'04-22'!B32</f>
        <v>6899</v>
      </c>
      <c r="D32" s="70">
        <f>B32-C32</f>
        <v>32</v>
      </c>
      <c r="E32" s="93">
        <f>D32*$E$4</f>
        <v>65.747001419983064</v>
      </c>
    </row>
    <row r="33" spans="2:5">
      <c r="B33" s="96">
        <f>'04-22'!C31</f>
        <v>26.868404579598547</v>
      </c>
      <c r="C33" s="73">
        <v>0.1</v>
      </c>
      <c r="D33" s="64">
        <f>(D32*$E$4*C33)</f>
        <v>6.5747001419983064</v>
      </c>
      <c r="E33" s="74">
        <f>D33+E32</f>
        <v>72.321701561981371</v>
      </c>
    </row>
    <row r="34" spans="2:5">
      <c r="B34" s="75"/>
      <c r="D34" s="76"/>
      <c r="E34" s="142">
        <f>E33+C35</f>
        <v>82.321701561981371</v>
      </c>
    </row>
    <row r="35" spans="2:5">
      <c r="B35" s="122">
        <f>'04-22'!B35+C35-D35</f>
        <v>10</v>
      </c>
      <c r="C35" s="132">
        <v>10</v>
      </c>
      <c r="D35" s="133">
        <v>0</v>
      </c>
      <c r="E35" s="125">
        <f>D32/$E$3</f>
        <v>4.8339828997855348E-2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4996ED-67FC-41F8-B854-419F30B4CD71}">
  <dimension ref="B1:F41"/>
  <sheetViews>
    <sheetView zoomScale="220" zoomScaleNormal="220" workbookViewId="0">
      <selection activeCell="E16" sqref="E16:F1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1518.171</v>
      </c>
      <c r="C3" s="59">
        <v>1502.83</v>
      </c>
      <c r="D3" s="60">
        <f>B3-C3</f>
        <v>15.341000000000122</v>
      </c>
      <c r="E3" s="60">
        <f>D3*$E$1</f>
        <v>920.46000000000731</v>
      </c>
    </row>
    <row r="4" spans="2:6">
      <c r="B4" s="61" t="s">
        <v>27</v>
      </c>
      <c r="C4" s="62">
        <v>4395</v>
      </c>
      <c r="D4" s="61" t="s">
        <v>28</v>
      </c>
      <c r="E4" s="170">
        <f>C4/E3</f>
        <v>4.7747865197835484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123289</v>
      </c>
      <c r="C6" s="70">
        <v>123125</v>
      </c>
      <c r="D6" s="70">
        <f>B6-C6</f>
        <v>164</v>
      </c>
      <c r="E6" s="71">
        <f>D6*$E$4</f>
        <v>783.06498924450193</v>
      </c>
      <c r="F6" s="64"/>
    </row>
    <row r="7" spans="2:6">
      <c r="B7" s="72"/>
      <c r="C7" s="73"/>
      <c r="D7" s="64"/>
      <c r="E7" s="74">
        <f>D7+E6</f>
        <v>783.06498924450193</v>
      </c>
      <c r="F7" s="64"/>
    </row>
    <row r="8" spans="2:6">
      <c r="B8" s="75"/>
      <c r="D8" s="76"/>
      <c r="E8" s="77">
        <f>E7+C9</f>
        <v>783.06498924450193</v>
      </c>
    </row>
    <row r="9" spans="2:6">
      <c r="B9" s="78"/>
      <c r="C9" s="79"/>
      <c r="D9" s="80"/>
      <c r="E9" s="81">
        <f>D6/$E$3</f>
        <v>0.1781717836733793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6940</v>
      </c>
      <c r="C12" s="70">
        <v>6750</v>
      </c>
      <c r="D12" s="70">
        <f>B12-C12</f>
        <v>190</v>
      </c>
      <c r="E12" s="74">
        <f>D12*$E$4</f>
        <v>907.20943875887417</v>
      </c>
    </row>
    <row r="13" spans="2:6">
      <c r="B13" s="72">
        <f>'07-22'!C11</f>
        <v>1321.7030818312405</v>
      </c>
      <c r="C13" s="73"/>
      <c r="D13" s="64"/>
      <c r="E13" s="74">
        <f>D13+E12</f>
        <v>907.20943875887417</v>
      </c>
    </row>
    <row r="14" spans="2:6">
      <c r="B14" s="75"/>
      <c r="C14" s="86"/>
      <c r="D14" s="76"/>
      <c r="E14" s="77">
        <f>E13+C15</f>
        <v>907.20943875887417</v>
      </c>
    </row>
    <row r="15" spans="2:6">
      <c r="B15" s="78"/>
      <c r="C15" s="79"/>
      <c r="D15" s="80"/>
      <c r="E15" s="81">
        <f>D12/$E$3</f>
        <v>0.20641852986550038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1914</v>
      </c>
      <c r="C18" s="89">
        <v>1790</v>
      </c>
      <c r="D18" s="89">
        <f>B18-C18</f>
        <v>124</v>
      </c>
      <c r="E18" s="90">
        <f>D18*$E$4</f>
        <v>592.07352845315995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592.07352845315995</v>
      </c>
    </row>
    <row r="20" spans="2:5">
      <c r="B20" s="75"/>
      <c r="D20" s="76"/>
      <c r="E20" s="77">
        <f>E19+C21</f>
        <v>592.07352845315995</v>
      </c>
    </row>
    <row r="21" spans="2:5">
      <c r="B21" s="78"/>
      <c r="C21" s="79"/>
      <c r="D21" s="80"/>
      <c r="E21" s="81">
        <f>D18/$E$3</f>
        <v>0.13471525107011603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341.46000000000731</v>
      </c>
      <c r="C24" s="70"/>
      <c r="D24" s="70">
        <f>B24-C24</f>
        <v>341.46000000000731</v>
      </c>
      <c r="E24" s="93">
        <f>D24*$E$4</f>
        <v>1630.3986050453254</v>
      </c>
    </row>
    <row r="25" spans="2:5">
      <c r="B25" s="72">
        <f>'06-22'!C23</f>
        <v>250.09895928853902</v>
      </c>
      <c r="C25" s="73"/>
      <c r="D25" s="94"/>
      <c r="E25" s="74">
        <f>D25+E24</f>
        <v>1630.3986050453254</v>
      </c>
    </row>
    <row r="26" spans="2:5">
      <c r="B26" s="75"/>
      <c r="C26" s="16"/>
      <c r="D26" s="95"/>
      <c r="E26" s="77">
        <f>E25+C27</f>
        <v>1630.3986050453254</v>
      </c>
    </row>
    <row r="27" spans="2:5">
      <c r="B27" s="78"/>
      <c r="C27" s="79"/>
      <c r="D27" s="80"/>
      <c r="E27" s="81">
        <f>D24/$E$3</f>
        <v>0.3709666905677646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6369</v>
      </c>
      <c r="C30" s="70">
        <v>6269</v>
      </c>
      <c r="D30" s="70">
        <f>B30-C30</f>
        <v>100</v>
      </c>
      <c r="E30" s="93">
        <f>D30*$E$4</f>
        <v>477.47865197835483</v>
      </c>
    </row>
    <row r="31" spans="2:5">
      <c r="B31" s="96">
        <f>'05-22'!C26</f>
        <v>0</v>
      </c>
      <c r="C31" s="73"/>
      <c r="D31" s="64"/>
      <c r="E31" s="74">
        <f>D31+E30</f>
        <v>477.47865197835483</v>
      </c>
    </row>
    <row r="32" spans="2:5">
      <c r="B32" s="75"/>
      <c r="D32" s="76"/>
      <c r="E32" s="77">
        <f>E31+C33</f>
        <v>477.47865197835483</v>
      </c>
    </row>
    <row r="33" spans="2:5">
      <c r="B33" s="78">
        <f>C33-D33</f>
        <v>0</v>
      </c>
      <c r="C33" s="79"/>
      <c r="D33" s="80"/>
      <c r="E33" s="81">
        <f>D30/$E$3</f>
        <v>0.10864133150815811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7605</v>
      </c>
      <c r="D36" s="89">
        <f>B36-C36+J39</f>
        <v>1</v>
      </c>
      <c r="E36" s="97">
        <f>D36*$E$4</f>
        <v>4.7747865197835484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4.7747865197835484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920.46000000000731</v>
      </c>
      <c r="D40" s="103">
        <f>E8+E14+E20+E26+E32+E37</f>
        <v>4395</v>
      </c>
      <c r="E40" s="7">
        <f>E36+E30+E24+E18+E12+E6</f>
        <v>4395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O40"/>
  <sheetViews>
    <sheetView workbookViewId="0"/>
  </sheetViews>
  <sheetFormatPr defaultRowHeight="12.75"/>
  <cols>
    <col min="1" max="1" width="4.85546875" customWidth="1"/>
    <col min="2" max="2" width="13.28515625" customWidth="1"/>
    <col min="3" max="3" width="13.5703125" customWidth="1"/>
    <col min="4" max="4" width="11.42578125" customWidth="1"/>
    <col min="5" max="5" width="11.7109375" customWidth="1"/>
    <col min="6" max="6" width="7.85546875" customWidth="1"/>
    <col min="7" max="7" width="7.7109375" customWidth="1"/>
    <col min="8" max="8" width="8.28515625" customWidth="1"/>
    <col min="9" max="9" width="7.7109375" customWidth="1"/>
    <col min="10" max="12" width="8.28515625" customWidth="1"/>
    <col min="13" max="13" width="7.7109375" customWidth="1"/>
    <col min="14" max="14" width="12.140625" customWidth="1"/>
    <col min="15" max="15" width="12.140625" style="7" customWidth="1"/>
    <col min="16" max="16" width="12.140625" customWidth="1"/>
    <col min="17" max="17" width="9.140625" customWidth="1"/>
  </cols>
  <sheetData>
    <row r="1" spans="2:15">
      <c r="B1" s="145" t="s">
        <v>58</v>
      </c>
      <c r="E1">
        <v>60</v>
      </c>
    </row>
    <row r="2" spans="2:15">
      <c r="B2" s="55">
        <v>44712</v>
      </c>
      <c r="C2" s="56">
        <v>44681</v>
      </c>
      <c r="D2" s="57" t="s">
        <v>25</v>
      </c>
      <c r="E2" s="57" t="s">
        <v>26</v>
      </c>
      <c r="F2" s="146"/>
      <c r="G2" s="146"/>
      <c r="H2" s="146"/>
      <c r="I2" s="146"/>
      <c r="J2" s="146"/>
      <c r="K2" s="146"/>
      <c r="L2" s="146"/>
      <c r="M2" s="146"/>
      <c r="N2" s="146"/>
      <c r="O2" s="29"/>
    </row>
    <row r="3" spans="2:15">
      <c r="B3" s="58">
        <v>1097.521</v>
      </c>
      <c r="C3" s="59">
        <f>'05-22'!B3</f>
        <v>1086.836</v>
      </c>
      <c r="D3" s="60">
        <f>B3-C3</f>
        <v>10.684999999999945</v>
      </c>
      <c r="E3" s="60">
        <f>D3*$E$1</f>
        <v>641.09999999999673</v>
      </c>
      <c r="F3" s="21"/>
    </row>
    <row r="4" spans="2:15">
      <c r="B4" s="61" t="s">
        <v>27</v>
      </c>
      <c r="C4" s="62">
        <v>1317.2</v>
      </c>
      <c r="D4" s="61" t="s">
        <v>28</v>
      </c>
      <c r="E4" s="63">
        <f>C4/E3</f>
        <v>2.0545936671346228</v>
      </c>
      <c r="F4" s="21"/>
      <c r="G4" s="21"/>
      <c r="H4" s="21"/>
      <c r="I4" s="21"/>
      <c r="J4" s="21"/>
      <c r="K4" s="21"/>
      <c r="L4" s="21"/>
      <c r="M4" s="21"/>
      <c r="N4" s="21"/>
    </row>
    <row r="5" spans="2:15">
      <c r="B5" s="65" t="s">
        <v>50</v>
      </c>
      <c r="C5" s="66">
        <f>B7+D7</f>
        <v>230.24979446031136</v>
      </c>
      <c r="D5" s="67">
        <v>1200</v>
      </c>
      <c r="E5" s="68" t="s">
        <v>30</v>
      </c>
      <c r="F5" s="21"/>
      <c r="G5" s="21"/>
      <c r="H5" s="21"/>
      <c r="I5" s="21"/>
      <c r="J5" s="21"/>
      <c r="K5" s="21"/>
      <c r="L5" s="21"/>
      <c r="M5" s="21"/>
      <c r="N5" s="21"/>
    </row>
    <row r="6" spans="2:15">
      <c r="B6" s="69">
        <v>3675</v>
      </c>
      <c r="C6" s="70">
        <f>'05-22'!B7</f>
        <v>3586</v>
      </c>
      <c r="D6" s="70">
        <f>B6-C6</f>
        <v>89</v>
      </c>
      <c r="E6" s="71">
        <f>D6*$E$4</f>
        <v>182.85883637498142</v>
      </c>
      <c r="F6" s="21"/>
      <c r="G6" s="21"/>
      <c r="H6" s="21"/>
      <c r="I6" s="21"/>
      <c r="J6" s="21"/>
      <c r="K6" s="21"/>
      <c r="L6" s="21"/>
      <c r="M6" s="21"/>
      <c r="N6" s="21"/>
    </row>
    <row r="7" spans="2:15">
      <c r="B7" s="72">
        <f>'05-22'!C6</f>
        <v>230.24979446031136</v>
      </c>
      <c r="C7" s="73"/>
      <c r="D7" s="64">
        <f>(D6*$E$4*C7)</f>
        <v>0</v>
      </c>
      <c r="E7" s="74">
        <f>D7+E6</f>
        <v>182.85883637498142</v>
      </c>
      <c r="F7" s="21"/>
      <c r="G7" s="21"/>
      <c r="H7" s="21"/>
      <c r="I7" s="21"/>
      <c r="J7" s="21"/>
      <c r="K7" s="21"/>
      <c r="L7" s="21"/>
      <c r="M7" s="21"/>
      <c r="N7" s="21"/>
    </row>
    <row r="8" spans="2:15">
      <c r="B8" s="75"/>
      <c r="D8" s="76"/>
      <c r="E8" s="121">
        <f>E7+C9</f>
        <v>182.85883637498142</v>
      </c>
      <c r="F8" s="147"/>
      <c r="G8" s="147"/>
      <c r="H8" s="147"/>
      <c r="I8" s="147"/>
      <c r="J8" s="147"/>
      <c r="K8" s="147"/>
      <c r="L8" s="147"/>
      <c r="M8" s="147"/>
      <c r="N8" s="147"/>
    </row>
    <row r="9" spans="2:15">
      <c r="B9" s="78">
        <f>C9-D9</f>
        <v>0</v>
      </c>
      <c r="C9" s="79">
        <v>0</v>
      </c>
      <c r="D9" s="80">
        <f>D10*E10</f>
        <v>0</v>
      </c>
      <c r="E9" s="81">
        <f>D6/$E$3</f>
        <v>0.13882389642801507</v>
      </c>
      <c r="F9" s="148"/>
      <c r="G9" s="148"/>
      <c r="H9" s="148"/>
      <c r="I9" s="148"/>
      <c r="J9" s="148"/>
      <c r="K9" s="148"/>
      <c r="L9" s="148"/>
      <c r="M9" s="148"/>
      <c r="N9" s="148"/>
    </row>
    <row r="10" spans="2:15">
      <c r="B10" s="87">
        <v>0</v>
      </c>
      <c r="C10" s="83">
        <v>0</v>
      </c>
      <c r="D10" s="84">
        <f>B10-C10</f>
        <v>0</v>
      </c>
      <c r="E10" s="85">
        <v>7</v>
      </c>
      <c r="F10" s="148"/>
      <c r="G10" s="148"/>
      <c r="H10" s="148"/>
      <c r="I10" s="148"/>
      <c r="J10" s="148"/>
      <c r="K10" s="148"/>
      <c r="L10" s="148"/>
      <c r="M10" s="148"/>
      <c r="N10" s="148"/>
    </row>
    <row r="11" spans="2:15">
      <c r="B11" s="65" t="s">
        <v>31</v>
      </c>
      <c r="C11" s="66">
        <f>B13+D13</f>
        <v>1075.1564511034801</v>
      </c>
      <c r="D11" s="67">
        <v>0</v>
      </c>
      <c r="E11" s="68" t="s">
        <v>30</v>
      </c>
      <c r="F11" s="149"/>
      <c r="G11" s="149"/>
      <c r="H11" s="149"/>
      <c r="I11" s="149"/>
      <c r="J11" s="149"/>
      <c r="K11" s="149"/>
      <c r="L11" s="149"/>
      <c r="M11" s="149"/>
      <c r="N11" s="149"/>
    </row>
    <row r="12" spans="2:15">
      <c r="B12" s="69">
        <f>B14+53+C12</f>
        <v>9900</v>
      </c>
      <c r="C12" s="70">
        <f>'05-22'!B12</f>
        <v>9623</v>
      </c>
      <c r="D12" s="70">
        <f>B12-C12</f>
        <v>277</v>
      </c>
      <c r="E12" s="74">
        <f>D12*$E$4</f>
        <v>569.12244579629055</v>
      </c>
      <c r="F12" s="21"/>
      <c r="G12" s="21"/>
      <c r="H12" s="21"/>
      <c r="I12" s="21"/>
      <c r="J12" s="21"/>
      <c r="K12" s="21"/>
      <c r="L12" s="21"/>
      <c r="M12" s="21"/>
      <c r="N12" s="21"/>
    </row>
    <row r="13" spans="2:15">
      <c r="B13" s="72">
        <f>'05-22'!C11</f>
        <v>847.50747278496385</v>
      </c>
      <c r="C13" s="73">
        <v>0.4</v>
      </c>
      <c r="D13" s="64">
        <f>(D12*$E$4*C13)</f>
        <v>227.64897831851624</v>
      </c>
      <c r="E13" s="74">
        <f>D13+E12</f>
        <v>796.77142411480679</v>
      </c>
      <c r="F13" s="21"/>
      <c r="G13" s="21"/>
      <c r="H13" s="21"/>
      <c r="I13" s="21"/>
      <c r="J13" s="21"/>
      <c r="K13" s="21"/>
      <c r="L13" s="21"/>
      <c r="M13" s="21"/>
      <c r="N13" s="21"/>
    </row>
    <row r="14" spans="2:15">
      <c r="B14" s="75">
        <v>224</v>
      </c>
      <c r="C14" s="150" t="s">
        <v>59</v>
      </c>
      <c r="D14" s="151"/>
      <c r="E14" s="121">
        <f>E13+C15</f>
        <v>996.77142411480679</v>
      </c>
      <c r="F14" s="21"/>
      <c r="G14" s="21"/>
      <c r="H14" s="21"/>
      <c r="I14" s="21"/>
      <c r="J14" s="21"/>
      <c r="K14" s="21"/>
      <c r="L14" s="21"/>
      <c r="M14" s="21"/>
      <c r="N14" s="21"/>
    </row>
    <row r="15" spans="2:15">
      <c r="B15" s="78">
        <f>C15-D15</f>
        <v>200</v>
      </c>
      <c r="C15" s="79">
        <v>200</v>
      </c>
      <c r="D15" s="80">
        <f>D16*E16</f>
        <v>0</v>
      </c>
      <c r="E15" s="81">
        <f>D12/$E$3</f>
        <v>0.43206987989393453</v>
      </c>
      <c r="F15" s="147"/>
      <c r="G15" s="147"/>
      <c r="H15" s="147"/>
      <c r="I15" s="147"/>
      <c r="J15" s="147"/>
      <c r="K15" s="147"/>
      <c r="L15" s="147"/>
      <c r="M15" s="147"/>
      <c r="N15" s="147"/>
    </row>
    <row r="16" spans="2:15">
      <c r="B16" s="87">
        <v>0</v>
      </c>
      <c r="C16" s="83">
        <v>0</v>
      </c>
      <c r="D16" s="84">
        <f>B16-C16</f>
        <v>0</v>
      </c>
      <c r="E16" s="85">
        <v>7</v>
      </c>
      <c r="F16" s="147"/>
      <c r="G16" s="147"/>
      <c r="H16" s="147"/>
      <c r="I16" s="147"/>
      <c r="J16" s="147"/>
      <c r="K16" s="147"/>
      <c r="L16" s="147"/>
      <c r="M16" s="147"/>
      <c r="N16" s="147"/>
    </row>
    <row r="17" spans="2:14">
      <c r="B17" s="65" t="s">
        <v>51</v>
      </c>
      <c r="C17" s="66">
        <f>B19+D19</f>
        <v>118.92690374289299</v>
      </c>
      <c r="D17" s="67">
        <v>1000</v>
      </c>
      <c r="E17" s="68" t="s">
        <v>30</v>
      </c>
      <c r="F17" s="148"/>
      <c r="G17" s="148"/>
      <c r="H17" s="148"/>
      <c r="I17" s="148"/>
      <c r="J17" s="148"/>
      <c r="K17" s="148"/>
      <c r="L17" s="148"/>
      <c r="M17" s="148"/>
      <c r="N17" s="148"/>
    </row>
    <row r="18" spans="2:14">
      <c r="B18" s="88">
        <v>188</v>
      </c>
      <c r="C18" s="89">
        <f>'05-22'!B17</f>
        <v>68</v>
      </c>
      <c r="D18" s="89">
        <f>B18-C18</f>
        <v>120</v>
      </c>
      <c r="E18" s="90">
        <f>D18*$E$4</f>
        <v>246.55124005615474</v>
      </c>
      <c r="F18" s="148"/>
      <c r="G18" s="148"/>
      <c r="H18" s="148"/>
      <c r="I18" s="148"/>
      <c r="J18" s="148"/>
      <c r="K18" s="148"/>
      <c r="L18" s="148"/>
      <c r="M18" s="148"/>
      <c r="N18" s="148"/>
    </row>
    <row r="19" spans="2:14">
      <c r="B19" s="72">
        <f>'05-22'!C16</f>
        <v>116.46139134233144</v>
      </c>
      <c r="C19" s="73">
        <v>0.01</v>
      </c>
      <c r="D19" s="64">
        <f>(D18*$E$4*C19)</f>
        <v>2.4655124005615474</v>
      </c>
      <c r="E19" s="74">
        <f>D19+E18</f>
        <v>249.01675245671629</v>
      </c>
      <c r="F19" s="21"/>
      <c r="G19" s="21"/>
      <c r="H19" s="21"/>
      <c r="I19" s="21"/>
      <c r="J19" s="21"/>
      <c r="K19" s="21"/>
      <c r="L19" s="21"/>
      <c r="M19" s="21"/>
      <c r="N19" s="21"/>
    </row>
    <row r="20" spans="2:14">
      <c r="B20" s="75"/>
      <c r="D20" s="76"/>
      <c r="E20" s="121">
        <f>E19</f>
        <v>249.01675245671629</v>
      </c>
      <c r="F20" s="21"/>
      <c r="G20" s="21"/>
      <c r="H20" s="21"/>
      <c r="I20" s="21"/>
      <c r="J20" s="21"/>
      <c r="K20" s="21"/>
      <c r="L20" s="21"/>
      <c r="M20" s="21"/>
      <c r="N20" s="21"/>
    </row>
    <row r="21" spans="2:14">
      <c r="B21" s="78">
        <f>C21-D21</f>
        <v>52</v>
      </c>
      <c r="C21" s="79">
        <v>80</v>
      </c>
      <c r="D21" s="80">
        <f>D22*E22</f>
        <v>28</v>
      </c>
      <c r="E21" s="81">
        <f>D18/$E$3</f>
        <v>0.18717828731867198</v>
      </c>
      <c r="F21" s="21"/>
      <c r="G21" s="21"/>
      <c r="H21" s="21"/>
      <c r="I21" s="21"/>
      <c r="J21" s="21"/>
      <c r="K21" s="21"/>
      <c r="L21" s="21"/>
      <c r="M21" s="21"/>
      <c r="N21" s="21"/>
    </row>
    <row r="22" spans="2:14">
      <c r="B22" s="87">
        <v>9</v>
      </c>
      <c r="C22" s="83">
        <v>5</v>
      </c>
      <c r="D22" s="84">
        <f>B22-C22</f>
        <v>4</v>
      </c>
      <c r="E22" s="85">
        <v>7</v>
      </c>
      <c r="F22" s="21"/>
      <c r="G22" s="21"/>
      <c r="H22" s="21"/>
      <c r="I22" s="21"/>
      <c r="J22" s="21"/>
      <c r="K22" s="21"/>
      <c r="L22" s="21"/>
      <c r="M22" s="21"/>
      <c r="N22" s="21"/>
    </row>
    <row r="23" spans="2:14">
      <c r="B23" s="65" t="s">
        <v>33</v>
      </c>
      <c r="C23" s="66">
        <f>B25+D25</f>
        <v>250.09895928853902</v>
      </c>
      <c r="D23" s="67">
        <v>0</v>
      </c>
      <c r="E23" s="68" t="s">
        <v>30</v>
      </c>
      <c r="F23" s="147"/>
      <c r="G23" s="147"/>
      <c r="H23" s="147"/>
      <c r="I23" s="147"/>
      <c r="J23" s="147"/>
      <c r="K23" s="147"/>
      <c r="L23" s="147"/>
      <c r="M23" s="147"/>
      <c r="N23" s="147"/>
    </row>
    <row r="24" spans="2:14">
      <c r="B24" s="92">
        <f>E3-D6-D12-D18-D36+B26</f>
        <v>115.09999999999673</v>
      </c>
      <c r="C24" s="70"/>
      <c r="D24" s="70">
        <f>B24-C24</f>
        <v>115.09999999999673</v>
      </c>
      <c r="E24" s="93">
        <f>D24*$E$4</f>
        <v>236.48373108718835</v>
      </c>
      <c r="F24" s="148"/>
      <c r="G24" s="148"/>
      <c r="H24" s="148"/>
      <c r="I24" s="148"/>
      <c r="J24" s="148"/>
      <c r="K24" s="148"/>
      <c r="L24" s="148"/>
      <c r="M24" s="148"/>
      <c r="N24" s="148"/>
    </row>
    <row r="25" spans="2:14">
      <c r="B25" s="72">
        <f>'05-22'!C21</f>
        <v>40.952747515029642</v>
      </c>
      <c r="C25" s="73">
        <v>0.88439999999999996</v>
      </c>
      <c r="D25" s="64">
        <f>(D24*$E$4*C25)</f>
        <v>209.14621177350938</v>
      </c>
      <c r="E25" s="74">
        <f>D25+E24</f>
        <v>445.62994286069772</v>
      </c>
      <c r="F25" s="21"/>
      <c r="G25" s="21"/>
      <c r="H25" s="21"/>
      <c r="I25" s="21"/>
      <c r="J25" s="21"/>
      <c r="K25" s="21"/>
      <c r="L25" s="21"/>
      <c r="M25" s="21"/>
      <c r="N25" s="21"/>
    </row>
    <row r="26" spans="2:14">
      <c r="B26" s="75"/>
      <c r="D26" s="76"/>
      <c r="E26" s="121">
        <f>E25+C27</f>
        <v>445.62994286069772</v>
      </c>
      <c r="F26" s="21"/>
      <c r="G26" s="21"/>
      <c r="H26" s="21"/>
      <c r="I26" s="21"/>
      <c r="J26" s="21"/>
      <c r="K26" s="21"/>
      <c r="L26" s="21"/>
      <c r="M26" s="21"/>
      <c r="N26" s="21"/>
    </row>
    <row r="27" spans="2:14">
      <c r="B27" s="78"/>
      <c r="C27" s="79"/>
      <c r="D27" s="80"/>
      <c r="E27" s="81">
        <f>D24/$E$3</f>
        <v>0.1795351739198211</v>
      </c>
      <c r="F27" s="21"/>
      <c r="G27" s="21"/>
      <c r="H27" s="21"/>
      <c r="I27" s="21"/>
      <c r="J27" s="21"/>
      <c r="K27" s="21"/>
      <c r="L27" s="21"/>
      <c r="M27" s="21"/>
      <c r="N27" s="21"/>
    </row>
    <row r="28" spans="2:14">
      <c r="B28" s="87">
        <v>954</v>
      </c>
      <c r="C28" s="83">
        <v>950</v>
      </c>
      <c r="D28" s="84">
        <f>B28-C28</f>
        <v>4</v>
      </c>
      <c r="E28" s="85">
        <v>7</v>
      </c>
      <c r="F28" s="21"/>
      <c r="G28" s="21"/>
      <c r="H28" s="21"/>
      <c r="I28" s="21"/>
      <c r="J28" s="21"/>
      <c r="K28" s="21"/>
      <c r="L28" s="21"/>
      <c r="M28" s="21"/>
      <c r="N28" s="21"/>
    </row>
    <row r="29" spans="2:14">
      <c r="B29" s="65" t="s">
        <v>53</v>
      </c>
      <c r="C29" s="66">
        <f>B31+D31+C33-D33</f>
        <v>0</v>
      </c>
      <c r="D29" s="67">
        <v>0</v>
      </c>
      <c r="E29" s="68" t="s">
        <v>30</v>
      </c>
      <c r="F29" s="21"/>
      <c r="G29" s="21"/>
      <c r="H29" s="21"/>
      <c r="I29" s="21"/>
      <c r="J29" s="21"/>
      <c r="K29" s="21"/>
      <c r="L29" s="21"/>
      <c r="M29" s="21"/>
      <c r="N29" s="21"/>
    </row>
    <row r="30" spans="2:14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  <c r="F30" s="149"/>
      <c r="G30" s="149"/>
      <c r="H30" s="149"/>
      <c r="I30" s="149"/>
      <c r="J30" s="149"/>
      <c r="K30" s="149"/>
      <c r="L30" s="149"/>
      <c r="M30" s="149"/>
      <c r="N30" s="149"/>
    </row>
    <row r="31" spans="2:14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14">
      <c r="B32" s="75"/>
      <c r="D32" s="76"/>
      <c r="E32" s="121">
        <f>E31+C33</f>
        <v>0</v>
      </c>
    </row>
    <row r="33" spans="2:5">
      <c r="B33" s="78">
        <f>C33-D33</f>
        <v>0</v>
      </c>
      <c r="C33" s="79">
        <v>0</v>
      </c>
      <c r="D33" s="80">
        <f>D34*E34</f>
        <v>0</v>
      </c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B37+D37+C39-D39</f>
        <v>51.661479390135341</v>
      </c>
      <c r="D35" s="67">
        <v>6700</v>
      </c>
      <c r="E35" s="68" t="s">
        <v>30</v>
      </c>
    </row>
    <row r="36" spans="2:5">
      <c r="B36" s="88">
        <v>6971</v>
      </c>
      <c r="C36" s="89">
        <f>'05-22'!B32</f>
        <v>6931</v>
      </c>
      <c r="D36" s="89">
        <f>B36-C36</f>
        <v>40</v>
      </c>
      <c r="E36" s="97">
        <f>D36*$E$4</f>
        <v>82.183746685384904</v>
      </c>
    </row>
    <row r="37" spans="2:5">
      <c r="B37" s="96">
        <f>'05-22'!C31</f>
        <v>43.443104721596853</v>
      </c>
      <c r="C37" s="73">
        <v>0.1</v>
      </c>
      <c r="D37" s="64">
        <f>(D36*$E$4*C37)</f>
        <v>8.2183746685384911</v>
      </c>
      <c r="E37" s="93">
        <f>D37+E36</f>
        <v>90.402121353923391</v>
      </c>
    </row>
    <row r="38" spans="2:5">
      <c r="B38" s="78">
        <f>C38-D38+80</f>
        <v>80</v>
      </c>
      <c r="C38" s="79">
        <v>0</v>
      </c>
      <c r="D38" s="80">
        <f>D39*E39</f>
        <v>0</v>
      </c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D40" s="103">
        <f>E8+E14+E20+E26+E32+E38</f>
        <v>1874.2769558072023</v>
      </c>
      <c r="E40" s="7">
        <f>E36+E30+E24+E18+E12+E6</f>
        <v>1317.1999999999998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1:E40"/>
  <sheetViews>
    <sheetView workbookViewId="0"/>
  </sheetViews>
  <sheetFormatPr defaultRowHeight="12.75"/>
  <cols>
    <col min="1" max="1" width="3.28515625" customWidth="1"/>
    <col min="2" max="2" width="15.140625" customWidth="1"/>
    <col min="3" max="3" width="13.28515625" customWidth="1"/>
    <col min="4" max="5" width="12.140625" customWidth="1"/>
    <col min="6" max="6" width="9.140625" customWidth="1"/>
  </cols>
  <sheetData>
    <row r="1" spans="2:5">
      <c r="B1" s="145" t="s">
        <v>60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1106.796</v>
      </c>
      <c r="C3" s="59">
        <f>'06-22'!B3</f>
        <v>1097.521</v>
      </c>
      <c r="D3" s="60">
        <f>B3-C3</f>
        <v>9.2750000000000909</v>
      </c>
      <c r="E3" s="60">
        <f>D3*$E$1</f>
        <v>556.50000000000546</v>
      </c>
    </row>
    <row r="4" spans="2:5">
      <c r="B4" s="61" t="s">
        <v>27</v>
      </c>
      <c r="C4" s="62">
        <v>1429.2</v>
      </c>
      <c r="D4" s="61" t="s">
        <v>28</v>
      </c>
      <c r="E4" s="63">
        <f>C4/E3</f>
        <v>2.5681940700808372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5">
      <c r="B12" s="69">
        <v>293</v>
      </c>
      <c r="C12" s="70">
        <v>53</v>
      </c>
      <c r="D12" s="70">
        <f>B12-C12</f>
        <v>240</v>
      </c>
      <c r="E12" s="74">
        <f>D12*$E$4</f>
        <v>616.36657681940096</v>
      </c>
    </row>
    <row r="13" spans="2:5">
      <c r="B13" s="72">
        <f>'06-22'!C11</f>
        <v>1075.1564511034801</v>
      </c>
      <c r="C13" s="73">
        <v>0.4</v>
      </c>
      <c r="D13" s="64">
        <f>(D12*$E$4*C13)</f>
        <v>246.5466307277604</v>
      </c>
      <c r="E13" s="74">
        <f>D13+E12</f>
        <v>862.91320754716139</v>
      </c>
    </row>
    <row r="14" spans="2:5">
      <c r="B14" s="75"/>
      <c r="C14" s="86"/>
      <c r="D14" s="76"/>
      <c r="E14" s="77">
        <f>E13+C15</f>
        <v>1062.9132075471614</v>
      </c>
    </row>
    <row r="15" spans="2:5">
      <c r="B15" s="78">
        <f>C15-D15</f>
        <v>200</v>
      </c>
      <c r="C15" s="79">
        <v>200</v>
      </c>
      <c r="D15" s="80"/>
      <c r="E15" s="81">
        <f>D12/$E$3</f>
        <v>0.43126684636118173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313</v>
      </c>
      <c r="C18" s="89">
        <f>'06-22'!B18</f>
        <v>188</v>
      </c>
      <c r="D18" s="89">
        <f>B18-C18</f>
        <v>125</v>
      </c>
      <c r="E18" s="90">
        <f>D18*$E$4</f>
        <v>321.02425876010466</v>
      </c>
    </row>
    <row r="19" spans="2:5">
      <c r="B19" s="72">
        <f>'05-22'!C16</f>
        <v>116.46139134233144</v>
      </c>
      <c r="C19" s="73">
        <v>0.01</v>
      </c>
      <c r="D19" s="64">
        <f>(D18*$E$4*C19)</f>
        <v>3.2102425876010465</v>
      </c>
      <c r="E19" s="74">
        <f>D19+E18</f>
        <v>324.2345013477057</v>
      </c>
    </row>
    <row r="20" spans="2:5">
      <c r="B20" s="75"/>
      <c r="D20" s="76"/>
      <c r="E20" s="77">
        <f>E19</f>
        <v>324.2345013477057</v>
      </c>
    </row>
    <row r="21" spans="2:5">
      <c r="B21" s="78">
        <f>C21-D21</f>
        <v>0</v>
      </c>
      <c r="C21" s="79"/>
      <c r="D21" s="80"/>
      <c r="E21" s="81">
        <f>D18/$E$3</f>
        <v>0.22461814914644884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272.24963314298697</v>
      </c>
      <c r="D23" s="67">
        <v>0</v>
      </c>
      <c r="E23" s="68" t="s">
        <v>30</v>
      </c>
    </row>
    <row r="24" spans="2:5">
      <c r="B24" s="92">
        <f>E3-D6-D12-D18-D36+B26</f>
        <v>172.50000000000546</v>
      </c>
      <c r="C24" s="70"/>
      <c r="D24" s="70">
        <f>B24-C24</f>
        <v>172.50000000000546</v>
      </c>
      <c r="E24" s="93">
        <f>D24*$E$4</f>
        <v>443.01347708895844</v>
      </c>
    </row>
    <row r="25" spans="2:5">
      <c r="B25" s="72">
        <f>'06-22'!C23</f>
        <v>250.09895928853902</v>
      </c>
      <c r="C25" s="73">
        <v>0.05</v>
      </c>
      <c r="D25" s="64">
        <f>(D24*$E$4*C25)</f>
        <v>22.150673854447923</v>
      </c>
      <c r="E25" s="74">
        <f>D25+E24</f>
        <v>465.16415094340636</v>
      </c>
    </row>
    <row r="26" spans="2:5">
      <c r="B26" s="75"/>
      <c r="D26" s="76"/>
      <c r="E26" s="77">
        <f>E25+C27</f>
        <v>465.16415094340636</v>
      </c>
    </row>
    <row r="27" spans="2:5">
      <c r="B27" s="78">
        <f>C27-D27+80</f>
        <v>80</v>
      </c>
      <c r="C27" s="79"/>
      <c r="D27" s="80"/>
      <c r="E27" s="81">
        <f>D24/$E$3</f>
        <v>0.30997304582210922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6990</v>
      </c>
      <c r="C36" s="89">
        <f>'06-22'!B36</f>
        <v>6971</v>
      </c>
      <c r="D36" s="89">
        <f>B36-C36</f>
        <v>19</v>
      </c>
      <c r="E36" s="97">
        <f>D36*$E$4</f>
        <v>48.795687331535909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48.795687331535909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556.50000000000546</v>
      </c>
      <c r="D40" s="103">
        <f>E8+E14+E20+E26+E32+E38</f>
        <v>1852.3118598382734</v>
      </c>
      <c r="E40" s="7">
        <f>E36+E30+E24+E18+E12+E6</f>
        <v>1429.2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44742</v>
      </c>
      <c r="C1" s="54">
        <v>44773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1115.3</v>
      </c>
      <c r="C3" s="59">
        <v>1106.796</v>
      </c>
      <c r="D3" s="60">
        <f>B3-C3</f>
        <v>8.5039999999999054</v>
      </c>
      <c r="E3" s="60">
        <f>D3*$E$1</f>
        <v>510.23999999999432</v>
      </c>
    </row>
    <row r="4" spans="2:5">
      <c r="B4" s="61" t="s">
        <v>27</v>
      </c>
      <c r="C4" s="62">
        <v>1311.2</v>
      </c>
      <c r="D4" s="61" t="s">
        <v>28</v>
      </c>
      <c r="E4" s="63">
        <f>C4/E3</f>
        <v>2.5697710881154254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1605.6627870679949</v>
      </c>
      <c r="D11" s="67">
        <v>0</v>
      </c>
      <c r="E11" s="68" t="s">
        <v>30</v>
      </c>
    </row>
    <row r="12" spans="2:5">
      <c r="B12" s="69">
        <v>514</v>
      </c>
      <c r="C12" s="70">
        <v>293</v>
      </c>
      <c r="D12" s="70">
        <f>B12-C12</f>
        <v>221</v>
      </c>
      <c r="E12" s="74">
        <f>D12*$E$4</f>
        <v>567.91941047350906</v>
      </c>
    </row>
    <row r="13" spans="2:5">
      <c r="B13" s="72">
        <f>'07-22'!C11</f>
        <v>1321.7030818312405</v>
      </c>
      <c r="C13" s="73">
        <v>0.5</v>
      </c>
      <c r="D13" s="64">
        <f>(D12*$E$4*C13)</f>
        <v>283.95970523675453</v>
      </c>
      <c r="E13" s="74">
        <f>D13+E12</f>
        <v>851.87911571026359</v>
      </c>
    </row>
    <row r="14" spans="2:5">
      <c r="B14" s="75"/>
      <c r="C14" s="86"/>
      <c r="D14" s="76"/>
      <c r="E14" s="77">
        <f>E13+C15</f>
        <v>901.87911571026359</v>
      </c>
    </row>
    <row r="15" spans="2:5">
      <c r="B15" s="78">
        <f>C15-D15</f>
        <v>50</v>
      </c>
      <c r="C15" s="79">
        <v>50</v>
      </c>
      <c r="D15" s="80"/>
      <c r="E15" s="81">
        <f>D12/$E$3</f>
        <v>0.43312950768266395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394.27</v>
      </c>
      <c r="C18" s="89">
        <v>313</v>
      </c>
      <c r="D18" s="89">
        <f>B18-C18</f>
        <v>81.269999999999982</v>
      </c>
      <c r="E18" s="90">
        <f>D18*$E$4</f>
        <v>208.84529633114059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208.84529633114059</v>
      </c>
    </row>
    <row r="20" spans="2:5">
      <c r="B20" s="75"/>
      <c r="D20" s="76"/>
      <c r="E20" s="77">
        <f>E19</f>
        <v>208.84529633114059</v>
      </c>
    </row>
    <row r="21" spans="2:5">
      <c r="B21" s="78">
        <f>C21-D21</f>
        <v>0</v>
      </c>
      <c r="C21" s="79"/>
      <c r="D21" s="80"/>
      <c r="E21" s="81">
        <f>D18/$E$3</f>
        <v>0.15927798682972893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273.35153297935074</v>
      </c>
      <c r="D23" s="67">
        <v>0</v>
      </c>
      <c r="E23" s="68" t="s">
        <v>30</v>
      </c>
    </row>
    <row r="24" spans="2:5">
      <c r="B24" s="92">
        <f>E3-D6-D12-D18-D36+B26</f>
        <v>180.96999999999434</v>
      </c>
      <c r="C24" s="70"/>
      <c r="D24" s="70">
        <f>B24-C24</f>
        <v>180.96999999999434</v>
      </c>
      <c r="E24" s="93">
        <f>D24*$E$4</f>
        <v>465.05147381623402</v>
      </c>
    </row>
    <row r="25" spans="2:5">
      <c r="B25" s="72">
        <f>'06-22'!C23</f>
        <v>250.09895928853902</v>
      </c>
      <c r="C25" s="73">
        <v>0.05</v>
      </c>
      <c r="D25" s="64">
        <f>(D24*$E$4*C25)</f>
        <v>23.252573690811701</v>
      </c>
      <c r="E25" s="74">
        <f>D25+E24</f>
        <v>488.30404750704571</v>
      </c>
    </row>
    <row r="26" spans="2:5">
      <c r="B26" s="75"/>
      <c r="D26" s="76"/>
      <c r="E26" s="77">
        <f>E25+C27</f>
        <v>488.30404750704571</v>
      </c>
    </row>
    <row r="27" spans="2:5">
      <c r="B27" s="78">
        <f>C27-D27+80</f>
        <v>80</v>
      </c>
      <c r="C27" s="79"/>
      <c r="D27" s="80"/>
      <c r="E27" s="81">
        <f>D24/$E$3</f>
        <v>0.35467623079334498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7017</v>
      </c>
      <c r="C36" s="89">
        <v>6990</v>
      </c>
      <c r="D36" s="89">
        <f>B36-C36</f>
        <v>27</v>
      </c>
      <c r="E36" s="97">
        <f>D36*$E$4</f>
        <v>69.383819379116488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69.383819379116488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510.23999999999432</v>
      </c>
      <c r="D40" s="103">
        <f>E8+E14+E20+E26+E32+E38</f>
        <v>1599.0284595484497</v>
      </c>
      <c r="E40" s="7">
        <f>E36+E30+E24+E18+E12+E6</f>
        <v>1311.2000000000003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44772</v>
      </c>
      <c r="C1" s="54">
        <v>44804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1126.7380000000001</v>
      </c>
      <c r="C3" s="59">
        <v>1115.3</v>
      </c>
      <c r="D3" s="60">
        <f>B3-C3</f>
        <v>11.438000000000102</v>
      </c>
      <c r="E3" s="60">
        <f>D3*$E$1</f>
        <v>686.28000000000611</v>
      </c>
    </row>
    <row r="4" spans="2:5">
      <c r="B4" s="61" t="s">
        <v>27</v>
      </c>
      <c r="C4" s="62">
        <v>1762</v>
      </c>
      <c r="D4" s="61" t="s">
        <v>28</v>
      </c>
      <c r="E4" s="63">
        <f>C4/E3</f>
        <v>2.5674651745642949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1596.216458295655</v>
      </c>
      <c r="D11" s="67">
        <v>0</v>
      </c>
      <c r="E11" s="68" t="s">
        <v>30</v>
      </c>
    </row>
    <row r="12" spans="2:5">
      <c r="B12" s="69">
        <v>838</v>
      </c>
      <c r="C12" s="70">
        <v>514</v>
      </c>
      <c r="D12" s="70">
        <f>B12-C12</f>
        <v>324</v>
      </c>
      <c r="E12" s="74">
        <f>D12*$E$4</f>
        <v>831.85871655883159</v>
      </c>
    </row>
    <row r="13" spans="2:5">
      <c r="B13" s="72">
        <f>'07-22'!C11</f>
        <v>1321.7030818312405</v>
      </c>
      <c r="C13" s="73">
        <v>0.33</v>
      </c>
      <c r="D13" s="64">
        <f>(D12*$E$4*C13)</f>
        <v>274.51337646441442</v>
      </c>
      <c r="E13" s="74">
        <f>D13+E12</f>
        <v>1106.372093023246</v>
      </c>
    </row>
    <row r="14" spans="2:5">
      <c r="B14" s="75"/>
      <c r="C14" s="86"/>
      <c r="D14" s="76"/>
      <c r="E14" s="77">
        <f>E13+C15</f>
        <v>1156.372093023246</v>
      </c>
    </row>
    <row r="15" spans="2:5">
      <c r="B15" s="78">
        <f>C15-D15</f>
        <v>50</v>
      </c>
      <c r="C15" s="79">
        <v>50</v>
      </c>
      <c r="D15" s="80"/>
      <c r="E15" s="81">
        <f>D12/$E$3</f>
        <v>0.47211050883021088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152.02169512944261</v>
      </c>
      <c r="D17" s="67">
        <v>1200</v>
      </c>
      <c r="E17" s="68" t="s">
        <v>30</v>
      </c>
    </row>
    <row r="18" spans="2:5">
      <c r="B18" s="88">
        <v>412</v>
      </c>
      <c r="C18" s="89">
        <v>394</v>
      </c>
      <c r="D18" s="89">
        <f>B18-C18</f>
        <v>18</v>
      </c>
      <c r="E18" s="90">
        <f>D18*$E$4</f>
        <v>46.214373142157307</v>
      </c>
    </row>
    <row r="19" spans="2:5">
      <c r="B19" s="72">
        <f>'07-22'!C17</f>
        <v>119.67163392993248</v>
      </c>
      <c r="C19" s="73">
        <v>0.7</v>
      </c>
      <c r="D19" s="64">
        <f>(D18*$E$4*C19)</f>
        <v>32.350061199510115</v>
      </c>
      <c r="E19" s="74">
        <f>D19+E18</f>
        <v>78.564434341667422</v>
      </c>
    </row>
    <row r="20" spans="2:5">
      <c r="B20" s="75"/>
      <c r="D20" s="76"/>
      <c r="E20" s="77">
        <f>E19+C21</f>
        <v>88.564434341667422</v>
      </c>
    </row>
    <row r="21" spans="2:5">
      <c r="B21" s="78">
        <f>C21-D21</f>
        <v>10</v>
      </c>
      <c r="C21" s="79">
        <v>10</v>
      </c>
      <c r="D21" s="80"/>
      <c r="E21" s="81">
        <f>D18/$E$3</f>
        <v>2.6228361601678383E-2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292.24133266383814</v>
      </c>
      <c r="D23" s="67">
        <v>0</v>
      </c>
      <c r="E23" s="68" t="s">
        <v>30</v>
      </c>
    </row>
    <row r="24" spans="2:5">
      <c r="B24" s="92">
        <f>E3-D6-D12-D18-D36-D30</f>
        <v>328.28000000000611</v>
      </c>
      <c r="C24" s="70"/>
      <c r="D24" s="70">
        <f>B24-C24</f>
        <v>328.28000000000611</v>
      </c>
      <c r="E24" s="93">
        <f>D24*$E$4</f>
        <v>842.84746750598242</v>
      </c>
    </row>
    <row r="25" spans="2:5">
      <c r="B25" s="72">
        <f>'06-22'!C23</f>
        <v>250.09895928853902</v>
      </c>
      <c r="C25" s="73">
        <v>0.05</v>
      </c>
      <c r="D25" s="64">
        <f>(D24*$E$4*C25)</f>
        <v>42.142373375299123</v>
      </c>
      <c r="E25" s="74">
        <f>D25+E24</f>
        <v>884.98984088128157</v>
      </c>
    </row>
    <row r="26" spans="2:5">
      <c r="B26" s="75"/>
      <c r="D26" s="76"/>
      <c r="E26" s="77">
        <f>E25+C27</f>
        <v>904.98984088128157</v>
      </c>
    </row>
    <row r="27" spans="2:5">
      <c r="B27" s="78"/>
      <c r="C27" s="79">
        <v>20</v>
      </c>
      <c r="D27" s="80"/>
      <c r="E27" s="81">
        <f>D24/$E$3</f>
        <v>0.47834703036661885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20</v>
      </c>
    </row>
    <row r="33" spans="2:5">
      <c r="B33" s="78">
        <f>C33-D33</f>
        <v>20</v>
      </c>
      <c r="C33" s="79">
        <v>20</v>
      </c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7033</v>
      </c>
      <c r="C36" s="89">
        <v>7017</v>
      </c>
      <c r="D36" s="89">
        <f>B36-C36</f>
        <v>16</v>
      </c>
      <c r="E36" s="97">
        <f>D36*$E$4</f>
        <v>41.079442793028718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51.079442793028718</v>
      </c>
    </row>
    <row r="38" spans="2:5">
      <c r="B38" s="78"/>
      <c r="C38" s="79">
        <v>10</v>
      </c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686.28000000000611</v>
      </c>
      <c r="D40" s="103">
        <f>E8+E14+E20+E26+E32+E38</f>
        <v>2169.9263682461951</v>
      </c>
      <c r="E40" s="7">
        <f>E36+E30+E24+E18+E12+E6</f>
        <v>1762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B1:J40"/>
  <sheetViews>
    <sheetView workbookViewId="0"/>
  </sheetViews>
  <sheetFormatPr defaultRowHeight="12.75"/>
  <cols>
    <col min="1" max="1" width="2.42578125" customWidth="1"/>
    <col min="2" max="3" width="13.7109375" customWidth="1"/>
    <col min="4" max="10" width="12.140625" customWidth="1"/>
    <col min="11" max="11" width="9.140625" customWidth="1"/>
  </cols>
  <sheetData>
    <row r="1" spans="2:5">
      <c r="B1" s="53">
        <v>44804</v>
      </c>
      <c r="C1" s="54">
        <v>44834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1136.75</v>
      </c>
      <c r="C3" s="59">
        <v>1126.7380000000001</v>
      </c>
      <c r="D3" s="60">
        <f>B3-C3</f>
        <v>10.011999999999944</v>
      </c>
      <c r="E3" s="60">
        <f>D3*$E$1</f>
        <v>600.71999999999662</v>
      </c>
    </row>
    <row r="4" spans="2:5">
      <c r="B4" s="61" t="s">
        <v>27</v>
      </c>
      <c r="C4" s="62">
        <v>1998</v>
      </c>
      <c r="D4" s="61" t="s">
        <v>28</v>
      </c>
      <c r="E4" s="63">
        <f>C4/E3</f>
        <v>3.3260087894526755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0</v>
      </c>
      <c r="C6" s="70">
        <v>0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1652.9735572607269</v>
      </c>
      <c r="D11" s="67">
        <v>0</v>
      </c>
      <c r="E11" s="68" t="s">
        <v>30</v>
      </c>
    </row>
    <row r="12" spans="2:5">
      <c r="B12" s="69">
        <v>1004</v>
      </c>
      <c r="C12" s="70">
        <v>838</v>
      </c>
      <c r="D12" s="70">
        <f>B12-C12</f>
        <v>166</v>
      </c>
      <c r="E12" s="74">
        <f>D12*$E$4</f>
        <v>552.11745904914414</v>
      </c>
    </row>
    <row r="13" spans="2:5">
      <c r="B13" s="72">
        <f>'07-22'!C11</f>
        <v>1321.7030818312405</v>
      </c>
      <c r="C13" s="73">
        <v>0.6</v>
      </c>
      <c r="D13" s="64">
        <f>(D12*$E$4*C13)</f>
        <v>331.27047542948645</v>
      </c>
      <c r="E13" s="74">
        <f>D13+E12</f>
        <v>883.38793447863054</v>
      </c>
    </row>
    <row r="14" spans="2:5">
      <c r="B14" s="75"/>
      <c r="C14" s="86"/>
      <c r="D14" s="76"/>
      <c r="E14" s="77">
        <f>E13+C15</f>
        <v>933.38793447863054</v>
      </c>
    </row>
    <row r="15" spans="2:5">
      <c r="B15" s="78">
        <f>C15-D15</f>
        <v>50</v>
      </c>
      <c r="C15" s="79">
        <v>50</v>
      </c>
      <c r="D15" s="80"/>
      <c r="E15" s="81">
        <f>D12/$E$3</f>
        <v>0.27633506458916124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159.5837394033646</v>
      </c>
      <c r="D17" s="67"/>
      <c r="E17" s="68" t="s">
        <v>30</v>
      </c>
    </row>
    <row r="18" spans="2:5">
      <c r="B18" s="88">
        <v>427</v>
      </c>
      <c r="C18" s="89">
        <v>412</v>
      </c>
      <c r="D18" s="89">
        <f>B18-C18</f>
        <v>15</v>
      </c>
      <c r="E18" s="90">
        <f>D18*$E$4</f>
        <v>49.890131841790136</v>
      </c>
    </row>
    <row r="19" spans="2:5">
      <c r="B19" s="72">
        <f>'07-22'!C17</f>
        <v>119.67163392993248</v>
      </c>
      <c r="C19" s="73">
        <v>0.8</v>
      </c>
      <c r="D19" s="64">
        <f>(D18*$E$4*C19)</f>
        <v>39.912105473432113</v>
      </c>
      <c r="E19" s="74">
        <f>D19+E18</f>
        <v>89.802237315222243</v>
      </c>
    </row>
    <row r="20" spans="2:5">
      <c r="B20" s="75"/>
      <c r="D20" s="76"/>
      <c r="E20" s="77">
        <f>E19+C21</f>
        <v>99.802237315222243</v>
      </c>
    </row>
    <row r="21" spans="2:5">
      <c r="B21" s="78">
        <f>C21-D21</f>
        <v>10</v>
      </c>
      <c r="C21" s="79">
        <v>10</v>
      </c>
      <c r="D21" s="80"/>
      <c r="E21" s="81">
        <f>D18/$E$3</f>
        <v>2.4970035956851919E-2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289.46559932050036</v>
      </c>
      <c r="D23" s="67">
        <v>0</v>
      </c>
      <c r="E23" s="68" t="s">
        <v>30</v>
      </c>
    </row>
    <row r="24" spans="2:5">
      <c r="B24" s="92">
        <f>E3-D6-D12-D18-D36-D30</f>
        <v>236.71999999999662</v>
      </c>
      <c r="C24" s="70"/>
      <c r="D24" s="70">
        <f>B24-C24</f>
        <v>236.71999999999662</v>
      </c>
      <c r="E24" s="93">
        <f>D24*$E$4</f>
        <v>787.33280063922609</v>
      </c>
    </row>
    <row r="25" spans="2:5">
      <c r="B25" s="72">
        <f>'06-22'!C23</f>
        <v>250.09895928853902</v>
      </c>
      <c r="C25" s="73">
        <v>0.05</v>
      </c>
      <c r="D25" s="64">
        <f>(D24*$E$4*C25)</f>
        <v>39.36664003196131</v>
      </c>
      <c r="E25" s="74">
        <f>D25+E24</f>
        <v>826.6994406711874</v>
      </c>
    </row>
    <row r="26" spans="2:5">
      <c r="B26" s="75"/>
      <c r="D26" s="76"/>
      <c r="E26" s="77">
        <f>E25+C27</f>
        <v>846.6994406711874</v>
      </c>
    </row>
    <row r="27" spans="2:5">
      <c r="B27" s="78"/>
      <c r="C27" s="79">
        <v>20</v>
      </c>
      <c r="D27" s="80"/>
      <c r="E27" s="81">
        <f>D24/$E$3</f>
        <v>0.39406046078039342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3675</v>
      </c>
      <c r="C30" s="70">
        <v>3550</v>
      </c>
      <c r="D30" s="70">
        <f>B30-C30</f>
        <v>125</v>
      </c>
      <c r="E30" s="93">
        <f>D30*$E$4</f>
        <v>415.75109868158444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415.75109868158444</v>
      </c>
    </row>
    <row r="32" spans="2:5">
      <c r="B32" s="75"/>
      <c r="D32" s="76"/>
      <c r="E32" s="77">
        <f>E31+C33</f>
        <v>415.75109868158444</v>
      </c>
    </row>
    <row r="33" spans="2:10">
      <c r="B33" s="78">
        <f>C33-D33</f>
        <v>0</v>
      </c>
      <c r="C33" s="79"/>
      <c r="D33" s="80"/>
      <c r="E33" s="81">
        <f>D30/$E$3</f>
        <v>0.20808363297376598</v>
      </c>
    </row>
    <row r="34" spans="2:10">
      <c r="B34" s="87">
        <v>0</v>
      </c>
      <c r="C34" s="83">
        <v>0</v>
      </c>
      <c r="D34" s="84">
        <f>B34-C34</f>
        <v>0</v>
      </c>
      <c r="E34" s="85">
        <v>7</v>
      </c>
    </row>
    <row r="35" spans="2:10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10">
      <c r="B36" s="88">
        <v>7048</v>
      </c>
      <c r="C36" s="89">
        <v>7033</v>
      </c>
      <c r="D36" s="89">
        <f>B36-C36+J39</f>
        <v>58</v>
      </c>
      <c r="E36" s="97">
        <f>D36*$E$4</f>
        <v>192.90850978825517</v>
      </c>
    </row>
    <row r="37" spans="2:10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202.90850978825517</v>
      </c>
    </row>
    <row r="38" spans="2:10">
      <c r="B38" s="78"/>
      <c r="C38" s="79">
        <v>10</v>
      </c>
      <c r="D38" s="80"/>
      <c r="E38" s="81"/>
    </row>
    <row r="39" spans="2:10">
      <c r="B39" s="98">
        <v>0</v>
      </c>
      <c r="C39" s="99">
        <v>0</v>
      </c>
      <c r="D39" s="100">
        <f>B39-C39</f>
        <v>0</v>
      </c>
      <c r="E39" s="101">
        <v>7</v>
      </c>
      <c r="G39" t="s">
        <v>61</v>
      </c>
      <c r="J39">
        <v>43</v>
      </c>
    </row>
    <row r="40" spans="2:10">
      <c r="C40" s="102">
        <f>D6+D12+D18+D24+D30+D36</f>
        <v>600.71999999999662</v>
      </c>
      <c r="D40" s="103">
        <f>E8+E14+E20+E26+E32+E37</f>
        <v>2498.5492209348799</v>
      </c>
      <c r="E40" s="7">
        <f>E36+E30+E24+E18+E12+E6</f>
        <v>1998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44834</v>
      </c>
      <c r="C1" s="54">
        <v>44864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1148.432</v>
      </c>
      <c r="C3" s="59">
        <v>1136.75</v>
      </c>
      <c r="D3" s="60">
        <f>B3-C3</f>
        <v>11.682000000000016</v>
      </c>
      <c r="E3" s="60">
        <f>D3*$E$1</f>
        <v>700.92000000000098</v>
      </c>
    </row>
    <row r="4" spans="2:6">
      <c r="B4" s="61" t="s">
        <v>27</v>
      </c>
      <c r="C4" s="62">
        <v>2334</v>
      </c>
      <c r="D4" s="61" t="s">
        <v>28</v>
      </c>
      <c r="E4" s="63">
        <f>C4/E3</f>
        <v>3.3299092621126474</v>
      </c>
      <c r="F4" s="64">
        <f>D3/3.33/60</f>
        <v>5.8468468468468551E-2</v>
      </c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119023</v>
      </c>
      <c r="C6" s="70">
        <v>119023</v>
      </c>
      <c r="D6" s="70">
        <f>B6-C6</f>
        <v>0</v>
      </c>
      <c r="E6" s="71">
        <f>D6*$E$4</f>
        <v>0</v>
      </c>
    </row>
    <row r="7" spans="2:6">
      <c r="B7" s="72"/>
      <c r="C7" s="73"/>
      <c r="D7" s="64">
        <f>(D6*$E$4*C7)</f>
        <v>0</v>
      </c>
      <c r="E7" s="74">
        <f>D7+E6</f>
        <v>0</v>
      </c>
    </row>
    <row r="8" spans="2:6">
      <c r="B8" s="75"/>
      <c r="D8" s="76"/>
      <c r="E8" s="77">
        <f>E7+C9</f>
        <v>0</v>
      </c>
    </row>
    <row r="9" spans="2:6">
      <c r="B9" s="78"/>
      <c r="C9" s="79"/>
      <c r="D9" s="80"/>
      <c r="E9" s="81">
        <f>D6/$E$3</f>
        <v>0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1670.677572500646</v>
      </c>
      <c r="D11" s="67">
        <v>0</v>
      </c>
      <c r="E11" s="68" t="s">
        <v>30</v>
      </c>
    </row>
    <row r="12" spans="2:6">
      <c r="B12" s="69">
        <v>1266</v>
      </c>
      <c r="C12" s="70">
        <v>1004</v>
      </c>
      <c r="D12" s="70">
        <f>B12-C12</f>
        <v>262</v>
      </c>
      <c r="E12" s="74">
        <f>D12*$E$4</f>
        <v>872.4362266735136</v>
      </c>
    </row>
    <row r="13" spans="2:6">
      <c r="B13" s="72">
        <f>'07-22'!C11</f>
        <v>1321.7030818312405</v>
      </c>
      <c r="C13" s="73">
        <v>0.4</v>
      </c>
      <c r="D13" s="64">
        <f>(D12*$E$4*C13)</f>
        <v>348.97449066940544</v>
      </c>
      <c r="E13" s="74">
        <f>D13+E12</f>
        <v>1221.410717342919</v>
      </c>
    </row>
    <row r="14" spans="2:6">
      <c r="B14" s="75"/>
      <c r="C14" s="86"/>
      <c r="D14" s="76"/>
      <c r="E14" s="77">
        <f>E13+C15</f>
        <v>1221.410717342919</v>
      </c>
    </row>
    <row r="15" spans="2:6">
      <c r="B15" s="78"/>
      <c r="C15" s="79"/>
      <c r="D15" s="80"/>
      <c r="E15" s="81">
        <f>D12/$E$3</f>
        <v>0.37379444159105124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128.66238893763662</v>
      </c>
      <c r="D17" s="67"/>
      <c r="E17" s="68" t="s">
        <v>30</v>
      </c>
    </row>
    <row r="18" spans="2:5">
      <c r="B18" s="88">
        <v>454</v>
      </c>
      <c r="C18" s="89">
        <v>427</v>
      </c>
      <c r="D18" s="89">
        <f>B18-C18</f>
        <v>27</v>
      </c>
      <c r="E18" s="90">
        <f>D18*$E$4</f>
        <v>89.907550077041478</v>
      </c>
    </row>
    <row r="19" spans="2:5">
      <c r="B19" s="72">
        <f>'07-22'!C17</f>
        <v>119.67163392993248</v>
      </c>
      <c r="C19" s="73">
        <v>0.1</v>
      </c>
      <c r="D19" s="64">
        <f>(D18*$E$4*C19)</f>
        <v>8.9907550077041485</v>
      </c>
      <c r="E19" s="74">
        <f>D19+E18</f>
        <v>98.89830508474563</v>
      </c>
    </row>
    <row r="20" spans="2:5">
      <c r="B20" s="75"/>
      <c r="D20" s="76"/>
      <c r="E20" s="77">
        <f>E19+C21</f>
        <v>98.89830508474563</v>
      </c>
    </row>
    <row r="21" spans="2:5">
      <c r="B21" s="78"/>
      <c r="C21" s="79"/>
      <c r="D21" s="80"/>
      <c r="E21" s="81">
        <f>D18/$E$3</f>
        <v>3.8520801232665589E-2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400.25575641231944</v>
      </c>
      <c r="D23" s="67">
        <v>0</v>
      </c>
      <c r="E23" s="68" t="s">
        <v>30</v>
      </c>
    </row>
    <row r="24" spans="2:5">
      <c r="B24" s="92">
        <f>E3-D6-D12-D18-D36-D30</f>
        <v>309.92000000000098</v>
      </c>
      <c r="C24" s="70"/>
      <c r="D24" s="70">
        <f>B24-C24</f>
        <v>309.92000000000098</v>
      </c>
      <c r="E24" s="93">
        <f>D24*$E$4</f>
        <v>1032.005478513955</v>
      </c>
    </row>
    <row r="25" spans="2:5">
      <c r="B25" s="72">
        <f>'06-22'!C23</f>
        <v>250.09895928853902</v>
      </c>
      <c r="C25" s="73">
        <v>0.14549999999999999</v>
      </c>
      <c r="D25" s="94">
        <f>(D24*$E$4*C25)</f>
        <v>150.15679712378045</v>
      </c>
      <c r="E25" s="74">
        <f>D25+E24</f>
        <v>1182.1622756377355</v>
      </c>
    </row>
    <row r="26" spans="2:5">
      <c r="B26" s="75"/>
      <c r="C26" s="16" t="s">
        <v>62</v>
      </c>
      <c r="D26" s="95"/>
      <c r="E26" s="77">
        <f>E25+C27</f>
        <v>1182.1622756377355</v>
      </c>
    </row>
    <row r="27" spans="2:5">
      <c r="B27" s="78"/>
      <c r="C27" s="79"/>
      <c r="D27" s="80"/>
      <c r="E27" s="81">
        <f>D24/$E$3</f>
        <v>0.44216173029732431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3762</v>
      </c>
      <c r="C30" s="70">
        <v>3675</v>
      </c>
      <c r="D30" s="70">
        <f>B30-C30</f>
        <v>87</v>
      </c>
      <c r="E30" s="93">
        <f>D30*$E$4</f>
        <v>289.70210580380029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289.70210580380029</v>
      </c>
    </row>
    <row r="32" spans="2:5">
      <c r="B32" s="75"/>
      <c r="D32" s="76"/>
      <c r="E32" s="77">
        <f>E31+C33</f>
        <v>289.70210580380029</v>
      </c>
    </row>
    <row r="33" spans="2:5">
      <c r="B33" s="78">
        <f>C33-D33</f>
        <v>0</v>
      </c>
      <c r="C33" s="79"/>
      <c r="D33" s="80"/>
      <c r="E33" s="81">
        <f>D30/$E$3</f>
        <v>0.12412258174970021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7063</v>
      </c>
      <c r="C36" s="89">
        <v>7048</v>
      </c>
      <c r="D36" s="89">
        <f>B36-C36+J39</f>
        <v>15</v>
      </c>
      <c r="E36" s="97">
        <f>D36*$E$4</f>
        <v>49.948638931689707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49.948638931689707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700.92000000000098</v>
      </c>
      <c r="D40" s="103">
        <f>E8+E14+E20+E26+E32+E37</f>
        <v>2842.1220428008905</v>
      </c>
      <c r="E40" s="7">
        <f>E36+E30+E24+E18+E12+E6</f>
        <v>2334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44895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1169.069</v>
      </c>
      <c r="C3" s="59">
        <v>1148.432</v>
      </c>
      <c r="D3" s="60">
        <f>B3-C3</f>
        <v>20.636999999999944</v>
      </c>
      <c r="E3" s="60">
        <f>D3*$E$1</f>
        <v>1238.2199999999966</v>
      </c>
    </row>
    <row r="4" spans="2:6">
      <c r="B4" s="61" t="s">
        <v>27</v>
      </c>
      <c r="C4" s="62">
        <v>4516</v>
      </c>
      <c r="D4" s="61" t="s">
        <v>28</v>
      </c>
      <c r="E4" s="63">
        <f>C4/E3</f>
        <v>3.6471709389284719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119205</v>
      </c>
      <c r="C6" s="70">
        <v>119023</v>
      </c>
      <c r="D6" s="70">
        <f>B6-C6</f>
        <v>182</v>
      </c>
      <c r="E6" s="71">
        <f>D6*$E$4</f>
        <v>663.78511088498192</v>
      </c>
      <c r="F6" s="64"/>
    </row>
    <row r="7" spans="2:6">
      <c r="B7" s="72"/>
      <c r="C7" s="73"/>
      <c r="D7" s="64">
        <f>(D6*$E$4*C7)</f>
        <v>0</v>
      </c>
      <c r="E7" s="74">
        <f>D7+E6</f>
        <v>663.78511088498192</v>
      </c>
    </row>
    <row r="8" spans="2:6">
      <c r="B8" s="75"/>
      <c r="D8" s="76"/>
      <c r="E8" s="77">
        <f>E7+C9</f>
        <v>693.78511088498192</v>
      </c>
    </row>
    <row r="9" spans="2:6">
      <c r="B9" s="78"/>
      <c r="C9" s="79">
        <v>30</v>
      </c>
      <c r="D9" s="80"/>
      <c r="E9" s="81">
        <f>D6/$E$3</f>
        <v>0.1469851884156293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1734.125171605272</v>
      </c>
      <c r="D11" s="67">
        <v>0</v>
      </c>
      <c r="E11" s="68" t="s">
        <v>30</v>
      </c>
    </row>
    <row r="12" spans="2:6">
      <c r="B12" s="69">
        <v>1523</v>
      </c>
      <c r="C12" s="70">
        <v>1266</v>
      </c>
      <c r="D12" s="70">
        <f>B12-C12</f>
        <v>257</v>
      </c>
      <c r="E12" s="74">
        <f>D12*$E$4</f>
        <v>937.32293130461733</v>
      </c>
    </row>
    <row r="13" spans="2:6">
      <c r="B13" s="72">
        <f>'07-22'!C11</f>
        <v>1321.7030818312405</v>
      </c>
      <c r="C13" s="73">
        <v>0.44</v>
      </c>
      <c r="D13" s="64">
        <f>(D12*$E$4*C13)</f>
        <v>412.42208977403163</v>
      </c>
      <c r="E13" s="74">
        <f>D13+E12</f>
        <v>1349.745021078649</v>
      </c>
    </row>
    <row r="14" spans="2:6">
      <c r="B14" s="75"/>
      <c r="C14" s="86" t="s">
        <v>47</v>
      </c>
      <c r="D14" s="76"/>
      <c r="E14" s="77">
        <f>E13+C15</f>
        <v>1399.745021078649</v>
      </c>
    </row>
    <row r="15" spans="2:6">
      <c r="B15" s="78"/>
      <c r="C15" s="79">
        <v>50</v>
      </c>
      <c r="D15" s="80"/>
      <c r="E15" s="81">
        <f>D12/$E$3</f>
        <v>0.20755600781767433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140.09579118793192</v>
      </c>
      <c r="D17" s="67"/>
      <c r="E17" s="68" t="s">
        <v>30</v>
      </c>
    </row>
    <row r="18" spans="2:5">
      <c r="B18" s="88">
        <v>510</v>
      </c>
      <c r="C18" s="89">
        <v>454</v>
      </c>
      <c r="D18" s="89">
        <f>B18-C18</f>
        <v>56</v>
      </c>
      <c r="E18" s="90">
        <f>D18*$E$4</f>
        <v>204.24157257999443</v>
      </c>
    </row>
    <row r="19" spans="2:5">
      <c r="B19" s="72">
        <f>'07-22'!C17</f>
        <v>119.67163392993248</v>
      </c>
      <c r="C19" s="73">
        <v>0.1</v>
      </c>
      <c r="D19" s="64">
        <f>(D18*$E$4*C19)</f>
        <v>20.424157257999443</v>
      </c>
      <c r="E19" s="74">
        <f>D19+E18</f>
        <v>224.66572983799387</v>
      </c>
    </row>
    <row r="20" spans="2:5">
      <c r="B20" s="75"/>
      <c r="D20" s="76"/>
      <c r="E20" s="77">
        <f>E19+C21</f>
        <v>244.66572983799387</v>
      </c>
    </row>
    <row r="21" spans="2:5">
      <c r="B21" s="78"/>
      <c r="C21" s="79">
        <v>20</v>
      </c>
      <c r="D21" s="80"/>
      <c r="E21" s="81">
        <f>D18/$E$3</f>
        <v>4.5226211820193631E-2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466.86126970187303</v>
      </c>
      <c r="D23" s="67">
        <v>0</v>
      </c>
      <c r="E23" s="68" t="s">
        <v>30</v>
      </c>
    </row>
    <row r="24" spans="2:5">
      <c r="B24" s="92">
        <f>E3-D6-D12-D18-D36-D30</f>
        <v>396.21999999999662</v>
      </c>
      <c r="C24" s="70"/>
      <c r="D24" s="70">
        <f>B24-C24</f>
        <v>396.21999999999662</v>
      </c>
      <c r="E24" s="93">
        <f>D24*$E$4</f>
        <v>1445.0820694222268</v>
      </c>
    </row>
    <row r="25" spans="2:5">
      <c r="B25" s="72">
        <f>'06-22'!C23</f>
        <v>250.09895928853902</v>
      </c>
      <c r="C25" s="73">
        <v>0.15</v>
      </c>
      <c r="D25" s="94">
        <f>(D24*$E$4*C25)</f>
        <v>216.76231041333401</v>
      </c>
      <c r="E25" s="74">
        <f>D25+E24</f>
        <v>1661.8443798355609</v>
      </c>
    </row>
    <row r="26" spans="2:5">
      <c r="B26" s="75"/>
      <c r="C26" s="16"/>
      <c r="D26" s="95"/>
      <c r="E26" s="77">
        <f>E25+C27</f>
        <v>1681.8443798355609</v>
      </c>
    </row>
    <row r="27" spans="2:5">
      <c r="B27" s="78"/>
      <c r="C27" s="79">
        <v>20</v>
      </c>
      <c r="D27" s="80"/>
      <c r="E27" s="81">
        <f>D24/$E$3</f>
        <v>0.3199916008463744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4052</v>
      </c>
      <c r="C30" s="70">
        <v>3762</v>
      </c>
      <c r="D30" s="70">
        <f>B30-C30</f>
        <v>290</v>
      </c>
      <c r="E30" s="93">
        <f>D30*$E$4</f>
        <v>1057.6795722892568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1057.6795722892568</v>
      </c>
    </row>
    <row r="32" spans="2:5">
      <c r="B32" s="75"/>
      <c r="D32" s="76"/>
      <c r="E32" s="77">
        <f>E31+C33</f>
        <v>1087.6795722892568</v>
      </c>
    </row>
    <row r="33" spans="2:5">
      <c r="B33" s="78">
        <f>C33-D33</f>
        <v>30</v>
      </c>
      <c r="C33" s="79">
        <v>30</v>
      </c>
      <c r="D33" s="80"/>
      <c r="E33" s="81">
        <f>D30/$E$3</f>
        <v>0.23420716835457414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7120</v>
      </c>
      <c r="C36" s="89">
        <v>7063</v>
      </c>
      <c r="D36" s="89">
        <f>B36-C36+J39</f>
        <v>57</v>
      </c>
      <c r="E36" s="97">
        <f>D36*$E$4</f>
        <v>207.88874351892289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217.88874351892289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1238.2199999999966</v>
      </c>
      <c r="D40" s="103">
        <f>E8+E14+E20+E26+E32+E37</f>
        <v>5325.6085574453646</v>
      </c>
      <c r="E40" s="7">
        <f>E36+E30+E24+E18+E12+E6</f>
        <v>4516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30"/>
  <sheetViews>
    <sheetView workbookViewId="0"/>
  </sheetViews>
  <sheetFormatPr defaultRowHeight="12.75"/>
  <cols>
    <col min="1" max="1" width="16.140625" customWidth="1"/>
    <col min="2" max="2" width="7.85546875" customWidth="1"/>
    <col min="3" max="5" width="9" customWidth="1"/>
    <col min="6" max="6" width="8.5703125" customWidth="1"/>
    <col min="7" max="7" width="9.7109375" customWidth="1"/>
    <col min="8" max="8" width="10.28515625" customWidth="1"/>
    <col min="9" max="9" width="7.85546875" customWidth="1"/>
    <col min="10" max="10" width="7.140625" customWidth="1"/>
    <col min="11" max="11" width="7" customWidth="1"/>
    <col min="12" max="12" width="7.7109375" customWidth="1"/>
    <col min="13" max="13" width="7.42578125" customWidth="1"/>
    <col min="14" max="14" width="7.85546875" customWidth="1"/>
    <col min="15" max="15" width="9.7109375" style="7" customWidth="1"/>
    <col min="16" max="1023" width="12.140625" customWidth="1"/>
    <col min="1024" max="1024" width="9.140625" customWidth="1"/>
  </cols>
  <sheetData>
    <row r="1" spans="1:15">
      <c r="C1" s="153">
        <v>2022</v>
      </c>
      <c r="N1">
        <v>2023</v>
      </c>
    </row>
    <row r="2" spans="1:15" ht="25.5">
      <c r="B2" s="154" t="s">
        <v>63</v>
      </c>
      <c r="C2" s="146">
        <v>44238</v>
      </c>
      <c r="D2" s="146">
        <v>44266</v>
      </c>
      <c r="E2" s="146">
        <v>44663</v>
      </c>
      <c r="F2" s="146">
        <v>44692</v>
      </c>
      <c r="G2" s="146">
        <v>44723</v>
      </c>
      <c r="H2" s="146">
        <v>44389</v>
      </c>
      <c r="I2" s="146">
        <v>44784</v>
      </c>
      <c r="J2" s="146">
        <v>44817</v>
      </c>
      <c r="K2" s="146">
        <v>44845</v>
      </c>
      <c r="L2" s="146">
        <v>44876</v>
      </c>
      <c r="M2" s="146">
        <v>44908</v>
      </c>
      <c r="N2" s="146">
        <v>44572</v>
      </c>
      <c r="O2" s="29" t="s">
        <v>64</v>
      </c>
    </row>
    <row r="3" spans="1:15">
      <c r="A3" t="s">
        <v>65</v>
      </c>
      <c r="C3" s="155">
        <f>'02-22'!C4</f>
        <v>2315</v>
      </c>
      <c r="D3" s="155">
        <f>'03-22'!C4</f>
        <v>1608.4</v>
      </c>
      <c r="E3" s="155">
        <f>'04-22'!C4</f>
        <v>1578.43</v>
      </c>
      <c r="F3" s="155">
        <f>'05-22'!C4</f>
        <v>1360.1</v>
      </c>
      <c r="G3" s="156">
        <f>'06-22'!C4</f>
        <v>1317.2</v>
      </c>
      <c r="H3" s="156">
        <f>'07-22'!C4</f>
        <v>1429.2</v>
      </c>
      <c r="I3" s="157"/>
      <c r="J3" s="157"/>
      <c r="K3" s="157"/>
      <c r="L3" s="157"/>
      <c r="M3" s="157"/>
      <c r="N3" s="157"/>
      <c r="O3" s="158">
        <f>SUM(C3:M3)</f>
        <v>9608.33</v>
      </c>
    </row>
    <row r="4" spans="1:15">
      <c r="A4" t="s">
        <v>25</v>
      </c>
      <c r="C4" s="155">
        <f>'02-22'!E3</f>
        <v>845.10000000000218</v>
      </c>
      <c r="D4" s="155">
        <f>'03-22'!E3</f>
        <v>587.10000000000491</v>
      </c>
      <c r="E4" s="155">
        <f>'04-22'!E3</f>
        <v>768.24000000000524</v>
      </c>
      <c r="F4" s="155">
        <f>'05-22'!E3</f>
        <v>661.97999999999411</v>
      </c>
      <c r="G4" s="155">
        <f>'06-22'!E3</f>
        <v>641.09999999999673</v>
      </c>
      <c r="H4" s="155">
        <f>'07-22'!E3</f>
        <v>556.50000000000546</v>
      </c>
      <c r="I4" s="155">
        <v>1</v>
      </c>
      <c r="J4" s="155">
        <v>1</v>
      </c>
      <c r="K4" s="155">
        <v>1</v>
      </c>
      <c r="L4" s="155">
        <v>1</v>
      </c>
      <c r="M4" s="155">
        <v>1</v>
      </c>
      <c r="N4" s="155">
        <v>1</v>
      </c>
      <c r="O4" s="158">
        <f>SUM(C4:M4)</f>
        <v>4065.0200000000086</v>
      </c>
    </row>
    <row r="5" spans="1:15">
      <c r="A5" t="s">
        <v>66</v>
      </c>
      <c r="C5" s="21">
        <f t="shared" ref="C5:N5" si="0">C3/C4</f>
        <v>2.739320790438994</v>
      </c>
      <c r="D5" s="21">
        <f t="shared" si="0"/>
        <v>2.7395673650144552</v>
      </c>
      <c r="E5" s="21">
        <f t="shared" si="0"/>
        <v>2.0546053316671733</v>
      </c>
      <c r="F5" s="21">
        <f t="shared" si="0"/>
        <v>2.0545937943744708</v>
      </c>
      <c r="G5" s="21">
        <f t="shared" si="0"/>
        <v>2.0545936671346228</v>
      </c>
      <c r="H5" s="21">
        <f t="shared" si="0"/>
        <v>2.5681940700808372</v>
      </c>
      <c r="I5" s="21">
        <f t="shared" si="0"/>
        <v>0</v>
      </c>
      <c r="J5" s="21">
        <f t="shared" si="0"/>
        <v>0</v>
      </c>
      <c r="K5" s="21">
        <f t="shared" si="0"/>
        <v>0</v>
      </c>
      <c r="L5" s="21">
        <f t="shared" si="0"/>
        <v>0</v>
      </c>
      <c r="M5" s="21">
        <f t="shared" si="0"/>
        <v>0</v>
      </c>
      <c r="N5" s="21">
        <f t="shared" si="0"/>
        <v>0</v>
      </c>
    </row>
    <row r="6" spans="1:15">
      <c r="C6" s="21"/>
      <c r="D6" s="21"/>
      <c r="E6" s="21"/>
      <c r="F6" s="21"/>
      <c r="G6" s="21"/>
      <c r="H6" s="21"/>
      <c r="I6" s="21"/>
      <c r="J6" s="21"/>
      <c r="K6" s="21"/>
      <c r="L6" s="21"/>
      <c r="M6" s="21"/>
      <c r="N6" s="21"/>
    </row>
    <row r="7" spans="1:15">
      <c r="A7" s="159" t="s">
        <v>67</v>
      </c>
      <c r="B7" s="159">
        <v>97.73</v>
      </c>
      <c r="C7" s="149">
        <f t="shared" ref="C7:N7" si="1">C10-C9</f>
        <v>46.044786415809995</v>
      </c>
      <c r="D7" s="149">
        <f t="shared" si="1"/>
        <v>52.331050928294303</v>
      </c>
      <c r="E7" s="149">
        <f t="shared" si="1"/>
        <v>41.266440174946808</v>
      </c>
      <c r="F7" s="149">
        <f t="shared" si="1"/>
        <v>32.324372337531742</v>
      </c>
      <c r="G7" s="149">
        <f t="shared" si="1"/>
        <v>1.1636250185915742E-3</v>
      </c>
      <c r="H7" s="149">
        <f t="shared" si="1"/>
        <v>0</v>
      </c>
      <c r="I7" s="149">
        <f t="shared" si="1"/>
        <v>0</v>
      </c>
      <c r="J7" s="149">
        <f t="shared" si="1"/>
        <v>0</v>
      </c>
      <c r="K7" s="149">
        <f t="shared" si="1"/>
        <v>0</v>
      </c>
      <c r="L7" s="149">
        <f t="shared" si="1"/>
        <v>0</v>
      </c>
      <c r="M7" s="149">
        <f t="shared" si="1"/>
        <v>0</v>
      </c>
      <c r="N7" s="149">
        <f t="shared" si="1"/>
        <v>0</v>
      </c>
      <c r="O7" s="160">
        <f>O10-O9+B7</f>
        <v>269.69781348160177</v>
      </c>
    </row>
    <row r="8" spans="1:15">
      <c r="A8" t="s">
        <v>68</v>
      </c>
      <c r="C8" s="161">
        <v>169</v>
      </c>
      <c r="D8" s="161">
        <v>118</v>
      </c>
      <c r="E8" s="161">
        <v>105</v>
      </c>
      <c r="F8" s="161">
        <v>60</v>
      </c>
      <c r="G8" s="161">
        <v>89</v>
      </c>
      <c r="H8" s="161"/>
      <c r="I8" s="161"/>
      <c r="J8" s="161"/>
      <c r="K8" s="161"/>
      <c r="L8" s="161"/>
      <c r="M8" s="161"/>
      <c r="N8" s="161"/>
      <c r="O8" s="7">
        <f>SUM(C8:M8)</f>
        <v>541</v>
      </c>
    </row>
    <row r="9" spans="1:15">
      <c r="A9" t="s">
        <v>69</v>
      </c>
      <c r="C9" s="21">
        <f t="shared" ref="C9:N9" si="2">C5*C8</f>
        <v>462.94521358419001</v>
      </c>
      <c r="D9" s="21">
        <f t="shared" si="2"/>
        <v>323.26894907170572</v>
      </c>
      <c r="E9" s="21">
        <f t="shared" si="2"/>
        <v>215.73355982505319</v>
      </c>
      <c r="F9" s="21">
        <f t="shared" si="2"/>
        <v>123.27562766246825</v>
      </c>
      <c r="G9" s="21">
        <f t="shared" si="2"/>
        <v>182.85883637498142</v>
      </c>
      <c r="H9" s="21">
        <f t="shared" si="2"/>
        <v>0</v>
      </c>
      <c r="I9" s="21">
        <f t="shared" si="2"/>
        <v>0</v>
      </c>
      <c r="J9" s="21">
        <f t="shared" si="2"/>
        <v>0</v>
      </c>
      <c r="K9" s="21">
        <f t="shared" si="2"/>
        <v>0</v>
      </c>
      <c r="L9" s="21">
        <f t="shared" si="2"/>
        <v>0</v>
      </c>
      <c r="M9" s="21">
        <f t="shared" si="2"/>
        <v>0</v>
      </c>
      <c r="N9" s="21">
        <f t="shared" si="2"/>
        <v>0</v>
      </c>
      <c r="O9" s="7">
        <f>SUM(C9:M9)</f>
        <v>1308.0821865183984</v>
      </c>
    </row>
    <row r="10" spans="1:15">
      <c r="A10" t="s">
        <v>70</v>
      </c>
      <c r="C10" s="162">
        <v>508.99</v>
      </c>
      <c r="D10" s="162">
        <v>375.6</v>
      </c>
      <c r="E10" s="163">
        <v>257</v>
      </c>
      <c r="F10" s="162">
        <v>155.6</v>
      </c>
      <c r="G10" s="162">
        <v>182.86</v>
      </c>
      <c r="H10" s="162"/>
      <c r="I10" s="162"/>
      <c r="J10" s="162"/>
      <c r="K10" s="162"/>
      <c r="L10" s="162"/>
      <c r="M10" s="162"/>
      <c r="N10" s="162"/>
      <c r="O10" s="7">
        <f>SUM(C10:M10)</f>
        <v>1480.0500000000002</v>
      </c>
    </row>
    <row r="11" spans="1:15"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</row>
    <row r="12" spans="1:15">
      <c r="A12" s="159" t="s">
        <v>71</v>
      </c>
      <c r="B12" s="159">
        <v>285.13</v>
      </c>
      <c r="C12" s="149">
        <f t="shared" ref="C12:N12" si="3">C15-C14</f>
        <v>134.60552952313697</v>
      </c>
      <c r="D12" s="149">
        <f t="shared" si="3"/>
        <v>148.89618122978175</v>
      </c>
      <c r="E12" s="149">
        <f t="shared" si="3"/>
        <v>185.97365406644371</v>
      </c>
      <c r="F12" s="149">
        <f t="shared" si="3"/>
        <v>214.37248225021176</v>
      </c>
      <c r="G12" s="149">
        <f t="shared" si="3"/>
        <v>427.64755420370943</v>
      </c>
      <c r="H12" s="149">
        <f t="shared" si="3"/>
        <v>446.54342318059912</v>
      </c>
      <c r="I12" s="149">
        <f t="shared" si="3"/>
        <v>0</v>
      </c>
      <c r="J12" s="149">
        <f t="shared" si="3"/>
        <v>0</v>
      </c>
      <c r="K12" s="149">
        <f t="shared" si="3"/>
        <v>0</v>
      </c>
      <c r="L12" s="149">
        <f t="shared" si="3"/>
        <v>0</v>
      </c>
      <c r="M12" s="149">
        <f t="shared" si="3"/>
        <v>0</v>
      </c>
      <c r="N12" s="149">
        <f t="shared" si="3"/>
        <v>0</v>
      </c>
      <c r="O12" s="164">
        <f>SUM(B12:M12)</f>
        <v>1843.1688244538827</v>
      </c>
    </row>
    <row r="13" spans="1:15">
      <c r="A13" t="s">
        <v>68</v>
      </c>
      <c r="C13" s="161">
        <v>494</v>
      </c>
      <c r="D13" s="161">
        <v>361</v>
      </c>
      <c r="E13" s="161">
        <v>440</v>
      </c>
      <c r="F13" s="161">
        <v>400</v>
      </c>
      <c r="G13" s="161">
        <v>277</v>
      </c>
      <c r="H13" s="161">
        <v>240</v>
      </c>
      <c r="I13" s="161"/>
      <c r="J13" s="161"/>
      <c r="K13" s="161"/>
      <c r="L13" s="161"/>
      <c r="M13" s="161"/>
      <c r="N13" s="161"/>
      <c r="O13" s="7">
        <f>SUM(C13:M13)</f>
        <v>2212</v>
      </c>
    </row>
    <row r="14" spans="1:15">
      <c r="A14" t="s">
        <v>69</v>
      </c>
      <c r="C14" s="21">
        <f t="shared" ref="C14:N14" si="4">C5*C13</f>
        <v>1353.224470476863</v>
      </c>
      <c r="D14" s="21">
        <f t="shared" si="4"/>
        <v>988.98381877021836</v>
      </c>
      <c r="E14" s="21">
        <f t="shared" si="4"/>
        <v>904.02634593355629</v>
      </c>
      <c r="F14" s="21">
        <f t="shared" si="4"/>
        <v>821.83751774978828</v>
      </c>
      <c r="G14" s="21">
        <f t="shared" si="4"/>
        <v>569.12244579629055</v>
      </c>
      <c r="H14" s="21">
        <f t="shared" si="4"/>
        <v>616.36657681940096</v>
      </c>
      <c r="I14" s="21">
        <f t="shared" si="4"/>
        <v>0</v>
      </c>
      <c r="J14" s="21">
        <f t="shared" si="4"/>
        <v>0</v>
      </c>
      <c r="K14" s="21">
        <f t="shared" si="4"/>
        <v>0</v>
      </c>
      <c r="L14" s="21">
        <f t="shared" si="4"/>
        <v>0</v>
      </c>
      <c r="M14" s="21">
        <f t="shared" si="4"/>
        <v>0</v>
      </c>
      <c r="N14" s="21">
        <f t="shared" si="4"/>
        <v>0</v>
      </c>
      <c r="O14" s="7">
        <f>SUM(C14:M14)</f>
        <v>5253.5611755461177</v>
      </c>
    </row>
    <row r="15" spans="1:15">
      <c r="A15" t="s">
        <v>70</v>
      </c>
      <c r="C15" s="162">
        <v>1487.83</v>
      </c>
      <c r="D15" s="162">
        <v>1137.8800000000001</v>
      </c>
      <c r="E15" s="163">
        <v>1090</v>
      </c>
      <c r="F15" s="163">
        <v>1036.21</v>
      </c>
      <c r="G15" s="163">
        <v>996.77</v>
      </c>
      <c r="H15" s="163">
        <v>1062.9100000000001</v>
      </c>
      <c r="I15" s="163"/>
      <c r="J15" s="163"/>
      <c r="K15" s="163"/>
      <c r="L15" s="163"/>
      <c r="M15" s="163"/>
      <c r="N15" s="163"/>
      <c r="O15" s="7">
        <f>SUM(C15:M15)</f>
        <v>6811.6</v>
      </c>
    </row>
    <row r="16" spans="1:15">
      <c r="O16"/>
    </row>
    <row r="17" spans="1:15">
      <c r="A17" s="159" t="s">
        <v>72</v>
      </c>
      <c r="B17" s="159">
        <v>28.49</v>
      </c>
      <c r="C17" s="149">
        <f t="shared" ref="C17:N17" si="5">C20-C19</f>
        <v>44.301225890428327</v>
      </c>
      <c r="D17" s="149">
        <f t="shared" si="5"/>
        <v>23.312817237269854</v>
      </c>
      <c r="E17" s="149">
        <f t="shared" si="5"/>
        <v>4.4049083619727867</v>
      </c>
      <c r="F17" s="149">
        <f t="shared" si="5"/>
        <v>13.967621982536002</v>
      </c>
      <c r="G17" s="149">
        <f t="shared" si="5"/>
        <v>2.4687599438452708</v>
      </c>
      <c r="H17" s="149">
        <f t="shared" si="5"/>
        <v>3.975741239895342</v>
      </c>
      <c r="I17" s="149">
        <f t="shared" si="5"/>
        <v>0</v>
      </c>
      <c r="J17" s="149">
        <f t="shared" si="5"/>
        <v>0</v>
      </c>
      <c r="K17" s="149">
        <f t="shared" si="5"/>
        <v>0</v>
      </c>
      <c r="L17" s="149">
        <f t="shared" si="5"/>
        <v>0</v>
      </c>
      <c r="M17" s="149">
        <f t="shared" si="5"/>
        <v>0</v>
      </c>
      <c r="N17" s="149">
        <f t="shared" si="5"/>
        <v>0</v>
      </c>
      <c r="O17" s="165">
        <f>SUM(B17:M17)</f>
        <v>120.92107465594758</v>
      </c>
    </row>
    <row r="18" spans="1:15">
      <c r="A18" t="s">
        <v>68</v>
      </c>
      <c r="C18" s="161">
        <v>162.58000000000001</v>
      </c>
      <c r="D18" s="161">
        <v>85.1</v>
      </c>
      <c r="E18" s="161">
        <v>185.24</v>
      </c>
      <c r="F18" s="161">
        <v>68</v>
      </c>
      <c r="G18" s="161">
        <v>120</v>
      </c>
      <c r="H18" s="161">
        <v>125</v>
      </c>
      <c r="I18" s="161"/>
      <c r="J18" s="161"/>
      <c r="K18" s="161"/>
      <c r="L18" s="161"/>
      <c r="M18" s="161"/>
      <c r="N18" s="161"/>
      <c r="O18" s="7">
        <f>SUM(C18:M18)</f>
        <v>745.92000000000007</v>
      </c>
    </row>
    <row r="19" spans="1:15">
      <c r="A19" t="s">
        <v>69</v>
      </c>
      <c r="C19" s="21">
        <f t="shared" ref="C19:N19" si="6">C5*C18</f>
        <v>445.3587741095717</v>
      </c>
      <c r="D19" s="21">
        <f t="shared" si="6"/>
        <v>233.13718276273013</v>
      </c>
      <c r="E19" s="21">
        <f t="shared" si="6"/>
        <v>380.59509163802721</v>
      </c>
      <c r="F19" s="21">
        <f t="shared" si="6"/>
        <v>139.712378017464</v>
      </c>
      <c r="G19" s="21">
        <f t="shared" si="6"/>
        <v>246.55124005615474</v>
      </c>
      <c r="H19" s="21">
        <f t="shared" si="6"/>
        <v>321.02425876010466</v>
      </c>
      <c r="I19" s="21">
        <f t="shared" si="6"/>
        <v>0</v>
      </c>
      <c r="J19" s="21">
        <f t="shared" si="6"/>
        <v>0</v>
      </c>
      <c r="K19" s="21">
        <f t="shared" si="6"/>
        <v>0</v>
      </c>
      <c r="L19" s="21">
        <f t="shared" si="6"/>
        <v>0</v>
      </c>
      <c r="M19" s="21">
        <f t="shared" si="6"/>
        <v>0</v>
      </c>
      <c r="N19" s="21">
        <f t="shared" si="6"/>
        <v>0</v>
      </c>
      <c r="O19" s="7">
        <f>SUM(C19:M19)</f>
        <v>1766.3789253440525</v>
      </c>
    </row>
    <row r="20" spans="1:15">
      <c r="A20" t="s">
        <v>70</v>
      </c>
      <c r="C20" s="162">
        <v>489.66</v>
      </c>
      <c r="D20" s="162">
        <v>256.45</v>
      </c>
      <c r="E20" s="162">
        <v>385</v>
      </c>
      <c r="F20" s="163">
        <v>153.68</v>
      </c>
      <c r="G20" s="163">
        <v>249.02</v>
      </c>
      <c r="H20" s="163">
        <v>325</v>
      </c>
      <c r="I20" s="163"/>
      <c r="J20" s="163"/>
      <c r="K20" s="163"/>
      <c r="L20" s="163"/>
      <c r="M20" s="163"/>
      <c r="N20" s="163"/>
      <c r="O20" s="7">
        <f>SUM(C20:M20)</f>
        <v>1858.8100000000002</v>
      </c>
    </row>
    <row r="21" spans="1:15">
      <c r="O21"/>
    </row>
    <row r="22" spans="1:15">
      <c r="A22" s="86" t="s">
        <v>73</v>
      </c>
      <c r="E22" s="149">
        <f t="shared" ref="E22:N22" si="7">E25-E24</f>
        <v>0</v>
      </c>
      <c r="F22" s="149">
        <f t="shared" si="7"/>
        <v>20.911432973803983</v>
      </c>
      <c r="G22" s="149">
        <f t="shared" si="7"/>
        <v>12.177134612383753</v>
      </c>
      <c r="H22" s="149">
        <f t="shared" si="7"/>
        <v>-1.2257681940656653</v>
      </c>
      <c r="I22" s="149">
        <f t="shared" si="7"/>
        <v>0</v>
      </c>
      <c r="J22" s="149">
        <f t="shared" si="7"/>
        <v>0</v>
      </c>
      <c r="K22" s="149">
        <f t="shared" si="7"/>
        <v>0</v>
      </c>
      <c r="L22" s="149">
        <f t="shared" si="7"/>
        <v>0</v>
      </c>
      <c r="M22" s="149">
        <f t="shared" si="7"/>
        <v>0</v>
      </c>
      <c r="N22" s="149">
        <f t="shared" si="7"/>
        <v>0</v>
      </c>
      <c r="O22" s="164">
        <f>SUM(B22:M22)</f>
        <v>31.862799392122071</v>
      </c>
    </row>
    <row r="23" spans="1:15">
      <c r="A23" t="s">
        <v>68</v>
      </c>
      <c r="C23" s="166"/>
      <c r="D23" s="166"/>
      <c r="E23" s="166">
        <v>0</v>
      </c>
      <c r="F23" s="166">
        <v>102</v>
      </c>
      <c r="G23" s="166">
        <v>116</v>
      </c>
      <c r="H23" s="166">
        <v>174</v>
      </c>
      <c r="I23" s="166"/>
      <c r="J23" s="166"/>
      <c r="K23" s="166"/>
      <c r="L23" s="166"/>
      <c r="M23" s="166"/>
      <c r="N23" s="166"/>
    </row>
    <row r="24" spans="1:15">
      <c r="A24" t="s">
        <v>69</v>
      </c>
      <c r="C24" s="21"/>
      <c r="D24" s="21"/>
      <c r="E24" s="21">
        <f>E10*E23</f>
        <v>0</v>
      </c>
      <c r="F24" s="21">
        <f>F5*F23</f>
        <v>209.56856702619601</v>
      </c>
      <c r="G24" s="21">
        <f>G5*G23</f>
        <v>238.33286538761624</v>
      </c>
      <c r="H24" s="21">
        <f>H5*H23</f>
        <v>446.86576819406565</v>
      </c>
      <c r="I24" s="21">
        <f t="shared" ref="I24:N24" si="8">I10*I23</f>
        <v>0</v>
      </c>
      <c r="J24" s="21">
        <f t="shared" si="8"/>
        <v>0</v>
      </c>
      <c r="K24" s="21">
        <f t="shared" si="8"/>
        <v>0</v>
      </c>
      <c r="L24" s="21">
        <f t="shared" si="8"/>
        <v>0</v>
      </c>
      <c r="M24" s="21">
        <f t="shared" si="8"/>
        <v>0</v>
      </c>
      <c r="N24" s="21">
        <f t="shared" si="8"/>
        <v>0</v>
      </c>
      <c r="O24" s="7">
        <f>SUM(C24:M24)</f>
        <v>894.76720060787784</v>
      </c>
    </row>
    <row r="25" spans="1:15">
      <c r="A25" t="s">
        <v>70</v>
      </c>
      <c r="C25" s="167"/>
      <c r="D25" s="167"/>
      <c r="E25" s="167"/>
      <c r="F25" s="167">
        <v>230.48</v>
      </c>
      <c r="G25" s="167">
        <v>250.51</v>
      </c>
      <c r="H25" s="167">
        <v>445.64</v>
      </c>
      <c r="I25" s="167"/>
      <c r="J25" s="167"/>
      <c r="K25" s="167"/>
      <c r="L25" s="167"/>
      <c r="M25" s="167"/>
      <c r="N25" s="167"/>
    </row>
    <row r="27" spans="1:15">
      <c r="A27" s="159" t="s">
        <v>74</v>
      </c>
      <c r="B27" s="159">
        <v>7.28</v>
      </c>
      <c r="C27" s="149">
        <f t="shared" ref="C27:N27" si="9">C30-C29</f>
        <v>5.4835841912201246</v>
      </c>
      <c r="D27" s="149">
        <f t="shared" si="9"/>
        <v>6.2999506046675293</v>
      </c>
      <c r="E27" s="149">
        <f t="shared" si="9"/>
        <v>7.8049973966474084</v>
      </c>
      <c r="F27" s="149">
        <f t="shared" si="9"/>
        <v>16.572998580016929</v>
      </c>
      <c r="G27" s="149">
        <f t="shared" si="9"/>
        <v>8.216253314615102</v>
      </c>
      <c r="H27" s="149">
        <f t="shared" si="9"/>
        <v>4.3126684640881763E-3</v>
      </c>
      <c r="I27" s="149">
        <f t="shared" si="9"/>
        <v>0</v>
      </c>
      <c r="J27" s="149">
        <f t="shared" si="9"/>
        <v>0</v>
      </c>
      <c r="K27" s="149">
        <f t="shared" si="9"/>
        <v>0</v>
      </c>
      <c r="L27" s="149">
        <f t="shared" si="9"/>
        <v>0</v>
      </c>
      <c r="M27" s="149">
        <f t="shared" si="9"/>
        <v>0</v>
      </c>
      <c r="N27" s="149">
        <f t="shared" si="9"/>
        <v>0</v>
      </c>
      <c r="O27" s="164">
        <f>SUM(B27:M27)</f>
        <v>51.662096755631183</v>
      </c>
    </row>
    <row r="28" spans="1:15">
      <c r="A28" t="s">
        <v>68</v>
      </c>
      <c r="C28" s="161">
        <v>20</v>
      </c>
      <c r="D28" s="161">
        <v>23</v>
      </c>
      <c r="E28" s="161">
        <v>38</v>
      </c>
      <c r="F28" s="161">
        <v>32</v>
      </c>
      <c r="G28" s="161">
        <v>40</v>
      </c>
      <c r="H28" s="161">
        <v>19</v>
      </c>
      <c r="I28" s="161"/>
      <c r="J28" s="161"/>
      <c r="K28" s="161"/>
      <c r="L28" s="161"/>
      <c r="M28" s="161"/>
      <c r="N28" s="161"/>
      <c r="O28" s="7">
        <f>SUM(C28:M28)</f>
        <v>172</v>
      </c>
    </row>
    <row r="29" spans="1:15">
      <c r="A29" t="s">
        <v>69</v>
      </c>
      <c r="C29" s="21">
        <f t="shared" ref="C29:N29" si="10">C5*C28</f>
        <v>54.786415808779878</v>
      </c>
      <c r="D29" s="21">
        <f t="shared" si="10"/>
        <v>63.010049395332473</v>
      </c>
      <c r="E29" s="21">
        <f t="shared" si="10"/>
        <v>78.075002603352587</v>
      </c>
      <c r="F29" s="21">
        <f t="shared" si="10"/>
        <v>65.747001419983064</v>
      </c>
      <c r="G29" s="21">
        <f t="shared" si="10"/>
        <v>82.183746685384904</v>
      </c>
      <c r="H29" s="21">
        <f t="shared" si="10"/>
        <v>48.795687331535909</v>
      </c>
      <c r="I29" s="21">
        <f t="shared" si="10"/>
        <v>0</v>
      </c>
      <c r="J29" s="21">
        <f t="shared" si="10"/>
        <v>0</v>
      </c>
      <c r="K29" s="21">
        <f t="shared" si="10"/>
        <v>0</v>
      </c>
      <c r="L29" s="21">
        <f t="shared" si="10"/>
        <v>0</v>
      </c>
      <c r="M29" s="21">
        <f t="shared" si="10"/>
        <v>0</v>
      </c>
      <c r="N29" s="21">
        <f t="shared" si="10"/>
        <v>0</v>
      </c>
      <c r="O29" s="7">
        <f>SUM(C29:M29)</f>
        <v>392.59790324436887</v>
      </c>
    </row>
    <row r="30" spans="1:15">
      <c r="C30" s="167">
        <v>60.27</v>
      </c>
      <c r="D30" s="167">
        <v>69.31</v>
      </c>
      <c r="E30" s="167">
        <v>85.88</v>
      </c>
      <c r="F30" s="167">
        <v>82.32</v>
      </c>
      <c r="G30" s="167">
        <v>90.4</v>
      </c>
      <c r="H30" s="167">
        <v>48.8</v>
      </c>
      <c r="I30" s="167"/>
      <c r="J30" s="167"/>
      <c r="K30" s="167"/>
      <c r="L30" s="167"/>
      <c r="M30" s="167"/>
      <c r="N30" s="167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C0F962-7F3F-4998-9CF6-E25F80392BDB}">
  <dimension ref="B1:F41"/>
  <sheetViews>
    <sheetView zoomScale="205" zoomScaleNormal="205" workbookViewId="0">
      <selection activeCell="F39" sqref="F39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1502.83</v>
      </c>
      <c r="C3" s="59">
        <v>1487.3710000000001</v>
      </c>
      <c r="D3" s="60">
        <f>B3-C3</f>
        <v>15.458999999999833</v>
      </c>
      <c r="E3" s="60">
        <f>D3*$E$1</f>
        <v>927.53999999998996</v>
      </c>
    </row>
    <row r="4" spans="2:6">
      <c r="B4" s="61" t="s">
        <v>27</v>
      </c>
      <c r="C4" s="62">
        <v>4430</v>
      </c>
      <c r="D4" s="61" t="s">
        <v>28</v>
      </c>
      <c r="E4" s="170">
        <f>C4/E3</f>
        <v>4.7760743471980165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123125</v>
      </c>
      <c r="C6" s="70">
        <v>123003</v>
      </c>
      <c r="D6" s="70">
        <f>B6-C6</f>
        <v>122</v>
      </c>
      <c r="E6" s="71">
        <f>D6*$E$4</f>
        <v>582.68107035815797</v>
      </c>
      <c r="F6" s="64"/>
    </row>
    <row r="7" spans="2:6">
      <c r="B7" s="72"/>
      <c r="C7" s="73"/>
      <c r="D7" s="64"/>
      <c r="E7" s="74">
        <f>D7+E6</f>
        <v>582.68107035815797</v>
      </c>
      <c r="F7" s="64"/>
    </row>
    <row r="8" spans="2:6">
      <c r="B8" s="75"/>
      <c r="D8" s="76"/>
      <c r="E8" s="77">
        <f>E7+C9</f>
        <v>582.68107035815797</v>
      </c>
    </row>
    <row r="9" spans="2:6">
      <c r="B9" s="78"/>
      <c r="C9" s="79"/>
      <c r="D9" s="80"/>
      <c r="E9" s="81">
        <f>D6/$E$3</f>
        <v>0.13153071565646907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6750</v>
      </c>
      <c r="C12" s="70">
        <v>6500</v>
      </c>
      <c r="D12" s="70">
        <f>B12-C12</f>
        <v>250</v>
      </c>
      <c r="E12" s="74">
        <f>D12*$E$4</f>
        <v>1194.0185867995042</v>
      </c>
    </row>
    <row r="13" spans="2:6">
      <c r="B13" s="72">
        <f>'07-22'!C11</f>
        <v>1321.7030818312405</v>
      </c>
      <c r="C13" s="73"/>
      <c r="D13" s="64"/>
      <c r="E13" s="74">
        <f>D13+E12</f>
        <v>1194.0185867995042</v>
      </c>
    </row>
    <row r="14" spans="2:6">
      <c r="B14" s="75"/>
      <c r="C14" s="86"/>
      <c r="D14" s="76"/>
      <c r="E14" s="77">
        <f>E13+C15</f>
        <v>1194.0185867995042</v>
      </c>
    </row>
    <row r="15" spans="2:6">
      <c r="B15" s="78"/>
      <c r="C15" s="79"/>
      <c r="D15" s="80"/>
      <c r="E15" s="81">
        <f>D12/$E$3</f>
        <v>0.26953015503374811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1790</v>
      </c>
      <c r="C18" s="89">
        <v>1650</v>
      </c>
      <c r="D18" s="89">
        <f>B18-C18</f>
        <v>140</v>
      </c>
      <c r="E18" s="90">
        <f>D18*$E$4</f>
        <v>668.65040860772228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668.65040860772228</v>
      </c>
    </row>
    <row r="20" spans="2:5">
      <c r="B20" s="75"/>
      <c r="D20" s="76"/>
      <c r="E20" s="77">
        <f>E19+C21</f>
        <v>668.65040860772228</v>
      </c>
    </row>
    <row r="21" spans="2:5">
      <c r="B21" s="78"/>
      <c r="C21" s="79"/>
      <c r="D21" s="80"/>
      <c r="E21" s="81">
        <f>D18/$E$3</f>
        <v>0.15093688681889894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298.53999999998996</v>
      </c>
      <c r="C24" s="70"/>
      <c r="D24" s="70">
        <f>B24-C24</f>
        <v>298.53999999998996</v>
      </c>
      <c r="E24" s="93">
        <f>D24*$E$4</f>
        <v>1425.849235612448</v>
      </c>
    </row>
    <row r="25" spans="2:5">
      <c r="B25" s="72">
        <f>'06-22'!C23</f>
        <v>250.09895928853902</v>
      </c>
      <c r="C25" s="73"/>
      <c r="D25" s="94"/>
      <c r="E25" s="74">
        <f>D25+E24</f>
        <v>1425.849235612448</v>
      </c>
    </row>
    <row r="26" spans="2:5">
      <c r="B26" s="75"/>
      <c r="C26" s="16"/>
      <c r="D26" s="95"/>
      <c r="E26" s="77">
        <f>E25+C27</f>
        <v>1425.849235612448</v>
      </c>
    </row>
    <row r="27" spans="2:5">
      <c r="B27" s="78"/>
      <c r="C27" s="79"/>
      <c r="D27" s="80"/>
      <c r="E27" s="81">
        <f>D24/$E$3</f>
        <v>0.32186212993508978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6269</v>
      </c>
      <c r="C30" s="70">
        <v>6157</v>
      </c>
      <c r="D30" s="70">
        <f>B30-C30</f>
        <v>112</v>
      </c>
      <c r="E30" s="93">
        <f>D30*$E$4</f>
        <v>534.9203268861778</v>
      </c>
    </row>
    <row r="31" spans="2:5">
      <c r="B31" s="96">
        <f>'05-22'!C26</f>
        <v>0</v>
      </c>
      <c r="C31" s="73"/>
      <c r="D31" s="64"/>
      <c r="E31" s="74">
        <f>D31+E30</f>
        <v>534.9203268861778</v>
      </c>
    </row>
    <row r="32" spans="2:5">
      <c r="B32" s="75"/>
      <c r="D32" s="76"/>
      <c r="E32" s="77">
        <f>E31+C33</f>
        <v>534.9203268861778</v>
      </c>
    </row>
    <row r="33" spans="2:5">
      <c r="B33" s="78">
        <f>C33-D33</f>
        <v>0</v>
      </c>
      <c r="C33" s="79"/>
      <c r="D33" s="80"/>
      <c r="E33" s="81">
        <f>D30/$E$3</f>
        <v>0.12074950945511914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7605</v>
      </c>
      <c r="C36" s="89">
        <v>7600</v>
      </c>
      <c r="D36" s="89">
        <f>B36-C36+J39</f>
        <v>5</v>
      </c>
      <c r="E36" s="97">
        <f>D36*$E$4</f>
        <v>23.880371735990082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23.880371735990082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927.53999999998996</v>
      </c>
      <c r="D40" s="103">
        <f>E8+E14+E20+E26+E32+E37</f>
        <v>4430</v>
      </c>
      <c r="E40" s="7">
        <f>E36+E30+E24+E18+E12+E6</f>
        <v>4430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F41"/>
  <sheetViews>
    <sheetView topLeftCell="A13" zoomScale="145" zoomScaleNormal="145" workbookViewId="0">
      <selection activeCell="E26" sqref="E2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1487.3710000000001</v>
      </c>
      <c r="C3" s="59">
        <v>1475.027</v>
      </c>
      <c r="D3" s="60">
        <f>B3-C3</f>
        <v>12.344000000000051</v>
      </c>
      <c r="E3" s="60">
        <f>D3*$E$1</f>
        <v>740.64000000000306</v>
      </c>
    </row>
    <row r="4" spans="2:6">
      <c r="B4" s="61" t="s">
        <v>27</v>
      </c>
      <c r="C4" s="62">
        <v>2565</v>
      </c>
      <c r="D4" s="61" t="s">
        <v>28</v>
      </c>
      <c r="E4" s="63">
        <f>C4/E3</f>
        <v>3.4632209980557214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123003</v>
      </c>
      <c r="C6" s="70">
        <v>122897</v>
      </c>
      <c r="D6" s="70">
        <f>B6-C6</f>
        <v>106</v>
      </c>
      <c r="E6" s="71">
        <f>D6*$E$4</f>
        <v>367.10142579390646</v>
      </c>
      <c r="F6" s="64"/>
    </row>
    <row r="7" spans="2:6">
      <c r="B7" s="72"/>
      <c r="C7" s="73"/>
      <c r="D7" s="64"/>
      <c r="E7" s="74">
        <f>D7+E6</f>
        <v>367.10142579390646</v>
      </c>
      <c r="F7" s="64"/>
    </row>
    <row r="8" spans="2:6">
      <c r="B8" s="75"/>
      <c r="D8" s="76"/>
      <c r="E8" s="77">
        <f>E7+C9</f>
        <v>367.10142579390646</v>
      </c>
    </row>
    <row r="9" spans="2:6">
      <c r="B9" s="78"/>
      <c r="C9" s="79"/>
      <c r="D9" s="80"/>
      <c r="E9" s="81">
        <f>D6/$E$3</f>
        <v>0.14311946424713701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6500</v>
      </c>
      <c r="C12" s="70">
        <v>6310</v>
      </c>
      <c r="D12" s="70">
        <f>B12-C12</f>
        <v>190</v>
      </c>
      <c r="E12" s="74">
        <f>D12*$E$4</f>
        <v>658.0119896305871</v>
      </c>
    </row>
    <row r="13" spans="2:6">
      <c r="B13" s="72">
        <f>'07-22'!C11</f>
        <v>1321.7030818312405</v>
      </c>
      <c r="C13" s="73"/>
      <c r="D13" s="64"/>
      <c r="E13" s="74">
        <f>D13+E12</f>
        <v>658.0119896305871</v>
      </c>
    </row>
    <row r="14" spans="2:6">
      <c r="B14" s="75"/>
      <c r="C14" s="86"/>
      <c r="D14" s="76"/>
      <c r="E14" s="77">
        <f>E13+C15</f>
        <v>658.0119896305871</v>
      </c>
    </row>
    <row r="15" spans="2:6">
      <c r="B15" s="78"/>
      <c r="C15" s="79"/>
      <c r="D15" s="80"/>
      <c r="E15" s="81">
        <f>D12/$E$3</f>
        <v>0.25653488874486824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1650</v>
      </c>
      <c r="C18" s="89">
        <v>1592</v>
      </c>
      <c r="D18" s="89">
        <f>B18-C18</f>
        <v>58</v>
      </c>
      <c r="E18" s="90">
        <f>D18*$E$4</f>
        <v>200.86681788723183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200.86681788723183</v>
      </c>
    </row>
    <row r="20" spans="2:5">
      <c r="B20" s="75"/>
      <c r="D20" s="76"/>
      <c r="E20" s="77">
        <f>E19+C21</f>
        <v>200.86681788723183</v>
      </c>
    </row>
    <row r="21" spans="2:5">
      <c r="B21" s="78"/>
      <c r="C21" s="79"/>
      <c r="D21" s="80"/>
      <c r="E21" s="81">
        <f>D18/$E$3</f>
        <v>7.8310650248433464E-2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277.64000000000306</v>
      </c>
      <c r="C24" s="70"/>
      <c r="D24" s="70">
        <f>B24-C24</f>
        <v>277.64000000000306</v>
      </c>
      <c r="E24" s="93">
        <f>D24*$E$4</f>
        <v>961.52867790020105</v>
      </c>
    </row>
    <row r="25" spans="2:5">
      <c r="B25" s="72">
        <f>'06-22'!C23</f>
        <v>250.09895928853902</v>
      </c>
      <c r="C25" s="73"/>
      <c r="D25" s="94"/>
      <c r="E25" s="74">
        <f>D25+E24</f>
        <v>961.52867790020105</v>
      </c>
    </row>
    <row r="26" spans="2:5">
      <c r="B26" s="75"/>
      <c r="C26" s="16"/>
      <c r="D26" s="95"/>
      <c r="E26" s="77">
        <f>E25+C27</f>
        <v>961.52867790020105</v>
      </c>
    </row>
    <row r="27" spans="2:5">
      <c r="B27" s="78"/>
      <c r="C27" s="79"/>
      <c r="D27" s="80"/>
      <c r="E27" s="81">
        <f>D24/$E$3</f>
        <v>0.37486498163750526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6157</v>
      </c>
      <c r="C30" s="70">
        <v>6058</v>
      </c>
      <c r="D30" s="70">
        <f>B30-C30</f>
        <v>99</v>
      </c>
      <c r="E30" s="93">
        <f>D30*$E$4</f>
        <v>342.85887880751642</v>
      </c>
    </row>
    <row r="31" spans="2:5">
      <c r="B31" s="96">
        <f>'05-22'!C26</f>
        <v>0</v>
      </c>
      <c r="C31" s="73"/>
      <c r="D31" s="64"/>
      <c r="E31" s="74">
        <f>D31+E30</f>
        <v>342.85887880751642</v>
      </c>
    </row>
    <row r="32" spans="2:5">
      <c r="B32" s="75"/>
      <c r="D32" s="76"/>
      <c r="E32" s="77">
        <f>E31+C33</f>
        <v>342.85887880751642</v>
      </c>
    </row>
    <row r="33" spans="2:5">
      <c r="B33" s="78">
        <f>C33-D33</f>
        <v>0</v>
      </c>
      <c r="C33" s="79"/>
      <c r="D33" s="80"/>
      <c r="E33" s="81">
        <f>D30/$E$3</f>
        <v>0.13366817887232607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7600</v>
      </c>
      <c r="C36" s="89">
        <v>7590</v>
      </c>
      <c r="D36" s="89">
        <f>B36-C36+J39</f>
        <v>10</v>
      </c>
      <c r="E36" s="97">
        <f>D36*$E$4</f>
        <v>34.632209980557214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34.632209980557214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740.64000000000306</v>
      </c>
      <c r="D40" s="103">
        <f>E8+E14+E20+E26+E32+E37</f>
        <v>2565</v>
      </c>
      <c r="E40" s="7">
        <f>E36+E30+E24+E18+E12+E6</f>
        <v>2564.9999999999995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verticalDpi="0" r:id="rId1"/>
  <headerFooter alignWithMargins="0">
    <oddHeader>&amp;C&amp;A</oddHeader>
    <oddFooter>&amp;CPage 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1475.027</v>
      </c>
      <c r="C3" s="59">
        <v>1454.4670000000001</v>
      </c>
      <c r="D3" s="60">
        <f>B3-C3</f>
        <v>20.559999999999945</v>
      </c>
      <c r="E3" s="60">
        <f>D3*$E$1</f>
        <v>1233.5999999999967</v>
      </c>
    </row>
    <row r="4" spans="2:6">
      <c r="B4" s="61" t="s">
        <v>27</v>
      </c>
      <c r="C4" s="62">
        <v>4625</v>
      </c>
      <c r="D4" s="61" t="s">
        <v>28</v>
      </c>
      <c r="E4" s="63">
        <f>C4/E3</f>
        <v>3.7491893644617478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122897</v>
      </c>
      <c r="C6" s="70">
        <v>122772</v>
      </c>
      <c r="D6" s="70">
        <f>B6-C6</f>
        <v>125</v>
      </c>
      <c r="E6" s="71">
        <f>D6*$E$4</f>
        <v>468.64867055771845</v>
      </c>
      <c r="F6" s="64"/>
    </row>
    <row r="7" spans="2:6">
      <c r="B7" s="72"/>
      <c r="C7" s="73"/>
      <c r="D7" s="64">
        <v>0</v>
      </c>
      <c r="E7" s="74">
        <f>D7+E6</f>
        <v>468.64867055771845</v>
      </c>
      <c r="F7" s="64"/>
    </row>
    <row r="8" spans="2:6">
      <c r="B8" s="75"/>
      <c r="D8" s="76"/>
      <c r="E8" s="77">
        <f>E7+C9</f>
        <v>488.64867055771845</v>
      </c>
    </row>
    <row r="9" spans="2:6">
      <c r="B9" s="78"/>
      <c r="C9" s="79">
        <v>20</v>
      </c>
      <c r="D9" s="80"/>
      <c r="E9" s="81">
        <f>D6/$E$3</f>
        <v>0.10132944228274994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1620.8830818312406</v>
      </c>
      <c r="D11" s="67">
        <v>0</v>
      </c>
      <c r="E11" s="68" t="s">
        <v>30</v>
      </c>
    </row>
    <row r="12" spans="2:6">
      <c r="B12" s="69">
        <v>6310</v>
      </c>
      <c r="C12" s="70">
        <v>6065</v>
      </c>
      <c r="D12" s="70">
        <f>B12-C12</f>
        <v>245</v>
      </c>
      <c r="E12" s="74">
        <f>D12*$E$4</f>
        <v>918.55139429312817</v>
      </c>
    </row>
    <row r="13" spans="2:6">
      <c r="B13" s="72">
        <f>'07-22'!C11</f>
        <v>1321.7030818312405</v>
      </c>
      <c r="C13" s="73"/>
      <c r="D13" s="64">
        <v>299.18</v>
      </c>
      <c r="E13" s="74">
        <f>D13+E12</f>
        <v>1217.7313942931282</v>
      </c>
    </row>
    <row r="14" spans="2:6">
      <c r="B14" s="75"/>
      <c r="C14" s="86"/>
      <c r="D14" s="76"/>
      <c r="E14" s="77">
        <f>E13+C15</f>
        <v>1257.7313942931282</v>
      </c>
    </row>
    <row r="15" spans="2:6">
      <c r="B15" s="78"/>
      <c r="C15" s="79">
        <v>40</v>
      </c>
      <c r="D15" s="80"/>
      <c r="E15" s="81">
        <f>D12/$E$3</f>
        <v>0.19860570687418988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319.67163392993245</v>
      </c>
      <c r="D17" s="67"/>
      <c r="E17" s="68" t="s">
        <v>30</v>
      </c>
    </row>
    <row r="18" spans="2:5">
      <c r="B18" s="88">
        <v>1592</v>
      </c>
      <c r="C18" s="89">
        <v>1400</v>
      </c>
      <c r="D18" s="89">
        <f>B18-C18</f>
        <v>192</v>
      </c>
      <c r="E18" s="90">
        <f>D18*$E$4</f>
        <v>719.8443579766556</v>
      </c>
    </row>
    <row r="19" spans="2:5">
      <c r="B19" s="72">
        <f>'07-22'!C17</f>
        <v>119.67163392993248</v>
      </c>
      <c r="C19" s="73">
        <v>0</v>
      </c>
      <c r="D19" s="64">
        <v>200</v>
      </c>
      <c r="E19" s="74">
        <f>D19+E18</f>
        <v>919.8443579766556</v>
      </c>
    </row>
    <row r="20" spans="2:5">
      <c r="B20" s="75"/>
      <c r="D20" s="76"/>
      <c r="E20" s="77">
        <f>E19+C21</f>
        <v>939.8443579766556</v>
      </c>
    </row>
    <row r="21" spans="2:5">
      <c r="B21" s="78"/>
      <c r="C21" s="79">
        <v>20</v>
      </c>
      <c r="D21" s="80"/>
      <c r="E21" s="81">
        <f>D18/$E$3</f>
        <v>0.15564202334630392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450.09895928853905</v>
      </c>
      <c r="D23" s="67">
        <v>0</v>
      </c>
      <c r="E23" s="68" t="s">
        <v>30</v>
      </c>
    </row>
    <row r="24" spans="2:5">
      <c r="B24" s="92">
        <f>E3-D6-D12-D18-D36-D30</f>
        <v>575.59999999999673</v>
      </c>
      <c r="C24" s="70"/>
      <c r="D24" s="70">
        <f>B24-C24</f>
        <v>575.59999999999673</v>
      </c>
      <c r="E24" s="93">
        <f>D24*$E$4</f>
        <v>2158.0333981841695</v>
      </c>
    </row>
    <row r="25" spans="2:5">
      <c r="B25" s="72">
        <f>'06-22'!C23</f>
        <v>250.09895928853902</v>
      </c>
      <c r="C25" s="73"/>
      <c r="D25" s="94">
        <v>200</v>
      </c>
      <c r="E25" s="74">
        <f>D25+E24</f>
        <v>2358.0333981841695</v>
      </c>
    </row>
    <row r="26" spans="2:5">
      <c r="B26" s="75"/>
      <c r="C26" s="16"/>
      <c r="D26" s="95"/>
      <c r="E26" s="77">
        <f>E25+C27</f>
        <v>2378.0333981841695</v>
      </c>
    </row>
    <row r="27" spans="2:5">
      <c r="B27" s="78"/>
      <c r="C27" s="79">
        <v>20</v>
      </c>
      <c r="D27" s="80"/>
      <c r="E27" s="81">
        <f>D24/$E$3</f>
        <v>0.46660181582360427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6058</v>
      </c>
      <c r="C30" s="70">
        <v>5972</v>
      </c>
      <c r="D30" s="70">
        <f>B30-C30</f>
        <v>86</v>
      </c>
      <c r="E30" s="93">
        <f>D30*$E$4</f>
        <v>322.4302853437103</v>
      </c>
    </row>
    <row r="31" spans="2:5">
      <c r="B31" s="96">
        <f>'05-22'!C26</f>
        <v>0</v>
      </c>
      <c r="C31" s="73"/>
      <c r="D31" s="64"/>
      <c r="E31" s="74">
        <f>D31+E30</f>
        <v>322.4302853437103</v>
      </c>
    </row>
    <row r="32" spans="2:5">
      <c r="B32" s="75"/>
      <c r="D32" s="76"/>
      <c r="E32" s="77">
        <f>E31+C33</f>
        <v>352.4302853437103</v>
      </c>
    </row>
    <row r="33" spans="2:5">
      <c r="B33" s="78">
        <f>C33-D33</f>
        <v>30</v>
      </c>
      <c r="C33" s="79">
        <v>30</v>
      </c>
      <c r="D33" s="80"/>
      <c r="E33" s="81">
        <f>D30/$E$3</f>
        <v>6.9714656290531959E-2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7590</v>
      </c>
      <c r="C36" s="89">
        <v>7580</v>
      </c>
      <c r="D36" s="89">
        <f>B36-C36+J39</f>
        <v>10</v>
      </c>
      <c r="E36" s="97">
        <f>D36*$E$4</f>
        <v>37.491893644617477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47.491893644617477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1233.5999999999967</v>
      </c>
      <c r="D40" s="103">
        <f>E8+E14+E20+E26+E32+E37</f>
        <v>5464.1799999999994</v>
      </c>
      <c r="E40" s="7">
        <f>E36+E30+E24+E18+E12+E6</f>
        <v>4624.9999999999991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1454.4670000000001</v>
      </c>
      <c r="C3" s="59">
        <v>1440.3389999999999</v>
      </c>
      <c r="D3" s="60">
        <f>B3-C3</f>
        <v>14.128000000000156</v>
      </c>
      <c r="E3" s="60">
        <f>D3*$E$1</f>
        <v>847.68000000000939</v>
      </c>
    </row>
    <row r="4" spans="2:6">
      <c r="B4" s="61" t="s">
        <v>27</v>
      </c>
      <c r="C4" s="62">
        <v>2935</v>
      </c>
      <c r="D4" s="61" t="s">
        <v>28</v>
      </c>
      <c r="E4" s="63">
        <f>C4/E3</f>
        <v>3.462391468478633</v>
      </c>
      <c r="F4" s="64"/>
    </row>
    <row r="5" spans="2:6">
      <c r="B5" s="65" t="s">
        <v>29</v>
      </c>
      <c r="C5" s="66">
        <f>B7+D7</f>
        <v>198.96</v>
      </c>
      <c r="D5" s="67"/>
      <c r="E5" s="68" t="s">
        <v>30</v>
      </c>
    </row>
    <row r="6" spans="2:6">
      <c r="B6" s="69">
        <v>122772.3</v>
      </c>
      <c r="C6" s="70">
        <v>122624</v>
      </c>
      <c r="D6" s="70">
        <f>B6-C6</f>
        <v>148.30000000000291</v>
      </c>
      <c r="E6" s="71">
        <f>D6*$E$4</f>
        <v>513.47265477539133</v>
      </c>
      <c r="F6" s="64"/>
    </row>
    <row r="7" spans="2:6">
      <c r="B7" s="72"/>
      <c r="C7" s="73"/>
      <c r="D7" s="64">
        <v>198.96</v>
      </c>
      <c r="E7" s="74">
        <f>D7+E6</f>
        <v>712.43265477539137</v>
      </c>
      <c r="F7" s="64"/>
    </row>
    <row r="8" spans="2:6">
      <c r="B8" s="75"/>
      <c r="D8" s="76"/>
      <c r="E8" s="77">
        <f>E7+C9</f>
        <v>712.43265477539137</v>
      </c>
    </row>
    <row r="9" spans="2:6">
      <c r="B9" s="78"/>
      <c r="C9" s="79"/>
      <c r="D9" s="80"/>
      <c r="E9" s="81">
        <f>D6/$E$3</f>
        <v>0.17494809362023556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1532.9130818312406</v>
      </c>
      <c r="D11" s="67">
        <v>0</v>
      </c>
      <c r="E11" s="68" t="s">
        <v>30</v>
      </c>
    </row>
    <row r="12" spans="2:6">
      <c r="B12" s="69">
        <v>6065</v>
      </c>
      <c r="C12" s="70">
        <v>5778</v>
      </c>
      <c r="D12" s="70">
        <f>B12-C12</f>
        <v>287</v>
      </c>
      <c r="E12" s="74">
        <f>D12*$E$4</f>
        <v>993.70635145336769</v>
      </c>
    </row>
    <row r="13" spans="2:6">
      <c r="B13" s="72">
        <f>'07-22'!C11</f>
        <v>1321.7030818312405</v>
      </c>
      <c r="C13" s="73"/>
      <c r="D13" s="64">
        <v>211.21</v>
      </c>
      <c r="E13" s="74">
        <f>D13+E12</f>
        <v>1204.9163514533677</v>
      </c>
    </row>
    <row r="14" spans="2:6">
      <c r="B14" s="75"/>
      <c r="C14" s="86"/>
      <c r="D14" s="76"/>
      <c r="E14" s="77">
        <f>E13+C15</f>
        <v>1204.9163514533677</v>
      </c>
    </row>
    <row r="15" spans="2:6">
      <c r="B15" s="78"/>
      <c r="C15" s="79"/>
      <c r="D15" s="80"/>
      <c r="E15" s="81">
        <f>D12/$E$3</f>
        <v>0.33857115892789358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1400</v>
      </c>
      <c r="C18" s="89">
        <v>1384</v>
      </c>
      <c r="D18" s="89">
        <f>B18-C18</f>
        <v>16</v>
      </c>
      <c r="E18" s="90">
        <f>D18*$E$4</f>
        <v>55.398263495658128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55.398263495658128</v>
      </c>
    </row>
    <row r="20" spans="2:5">
      <c r="B20" s="75"/>
      <c r="D20" s="76"/>
      <c r="E20" s="77">
        <f>E19+C21</f>
        <v>55.398263495658128</v>
      </c>
    </row>
    <row r="21" spans="2:5">
      <c r="B21" s="78"/>
      <c r="C21" s="79"/>
      <c r="D21" s="80"/>
      <c r="E21" s="81">
        <f>D18/$E$3</f>
        <v>1.8875047187617761E-2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540.17895928853898</v>
      </c>
      <c r="D23" s="67">
        <v>0</v>
      </c>
      <c r="E23" s="68" t="s">
        <v>30</v>
      </c>
    </row>
    <row r="24" spans="2:5">
      <c r="B24" s="92">
        <f>E3-D6-D12-D18-D36-D30</f>
        <v>279.38000000000648</v>
      </c>
      <c r="C24" s="70"/>
      <c r="D24" s="70">
        <f>B24-C24</f>
        <v>279.38000000000648</v>
      </c>
      <c r="E24" s="93">
        <f>D24*$E$4</f>
        <v>967.32292846358291</v>
      </c>
    </row>
    <row r="25" spans="2:5">
      <c r="B25" s="72">
        <f>'06-22'!C23</f>
        <v>250.09895928853902</v>
      </c>
      <c r="C25" s="73"/>
      <c r="D25" s="94">
        <v>290.08</v>
      </c>
      <c r="E25" s="74">
        <f>D25+E24</f>
        <v>1257.4029284635828</v>
      </c>
    </row>
    <row r="26" spans="2:5">
      <c r="B26" s="75"/>
      <c r="C26" s="16"/>
      <c r="D26" s="95"/>
      <c r="E26" s="77">
        <f>E25+C27</f>
        <v>1257.4029284635828</v>
      </c>
    </row>
    <row r="27" spans="2:5">
      <c r="B27" s="78"/>
      <c r="C27" s="79"/>
      <c r="D27" s="80"/>
      <c r="E27" s="81">
        <f>D24/$E$3</f>
        <v>0.32958191770479828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5972</v>
      </c>
      <c r="C30" s="70">
        <v>5865</v>
      </c>
      <c r="D30" s="70">
        <f>B30-C30</f>
        <v>107</v>
      </c>
      <c r="E30" s="93">
        <f>D30*$E$4</f>
        <v>370.47588712721375</v>
      </c>
    </row>
    <row r="31" spans="2:5">
      <c r="B31" s="96">
        <f>'05-22'!C26</f>
        <v>0</v>
      </c>
      <c r="C31" s="73"/>
      <c r="D31" s="64"/>
      <c r="E31" s="74">
        <f>D31+E30</f>
        <v>370.47588712721375</v>
      </c>
    </row>
    <row r="32" spans="2:5">
      <c r="B32" s="75"/>
      <c r="D32" s="76"/>
      <c r="E32" s="77">
        <f>E31+C33</f>
        <v>370.47588712721375</v>
      </c>
    </row>
    <row r="33" spans="2:5">
      <c r="B33" s="78">
        <f>C33-D33</f>
        <v>0</v>
      </c>
      <c r="C33" s="79">
        <v>0</v>
      </c>
      <c r="D33" s="80"/>
      <c r="E33" s="81">
        <f>D30/$E$3</f>
        <v>0.12622687806719377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7580</v>
      </c>
      <c r="C36" s="89">
        <v>7570</v>
      </c>
      <c r="D36" s="89">
        <f>B36-C36+J39</f>
        <v>10</v>
      </c>
      <c r="E36" s="97">
        <f>D36*$E$4</f>
        <v>34.623914684786328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34.623914684786328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847.68000000000939</v>
      </c>
      <c r="D40" s="103">
        <f>E8+E14+E20+E26+E32+E37</f>
        <v>3635.2500000000005</v>
      </c>
      <c r="E40" s="7">
        <f>E36+E30+E24+E18+E12+E6</f>
        <v>2935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1440.3389999999999</v>
      </c>
      <c r="C3" s="59">
        <v>1423.7180000000001</v>
      </c>
      <c r="D3" s="60">
        <f>B3-C3</f>
        <v>16.620999999999867</v>
      </c>
      <c r="E3" s="60">
        <f>D3*$E$1</f>
        <v>997.25999999999203</v>
      </c>
    </row>
    <row r="4" spans="2:6">
      <c r="B4" s="61" t="s">
        <v>27</v>
      </c>
      <c r="C4" s="62">
        <v>3530</v>
      </c>
      <c r="D4" s="61" t="s">
        <v>28</v>
      </c>
      <c r="E4" s="63">
        <f>C4/E3</f>
        <v>3.5396987746425488</v>
      </c>
      <c r="F4" s="64"/>
    </row>
    <row r="5" spans="2:6">
      <c r="B5" s="65" t="s">
        <v>29</v>
      </c>
      <c r="C5" s="66">
        <f>B7+D7</f>
        <v>187.7442071275309</v>
      </c>
      <c r="D5" s="67"/>
      <c r="E5" s="68" t="s">
        <v>30</v>
      </c>
    </row>
    <row r="6" spans="2:6">
      <c r="B6" s="69">
        <v>122624</v>
      </c>
      <c r="C6" s="70">
        <v>122430</v>
      </c>
      <c r="D6" s="70">
        <f>B6-C6</f>
        <v>194</v>
      </c>
      <c r="E6" s="71">
        <f>D6*$E$4</f>
        <v>686.70156228065446</v>
      </c>
      <c r="F6" s="64"/>
    </row>
    <row r="7" spans="2:6">
      <c r="B7" s="72"/>
      <c r="C7" s="73">
        <v>0.27339999999999998</v>
      </c>
      <c r="D7" s="64">
        <f>(D6*$E$4*C7)</f>
        <v>187.7442071275309</v>
      </c>
      <c r="E7" s="74">
        <f>D7+E6</f>
        <v>874.44576940818536</v>
      </c>
      <c r="F7" s="64"/>
    </row>
    <row r="8" spans="2:6">
      <c r="B8" s="75"/>
      <c r="D8" s="76"/>
      <c r="E8" s="77">
        <f>E7+C9</f>
        <v>874.44576940818536</v>
      </c>
    </row>
    <row r="9" spans="2:6">
      <c r="B9" s="78"/>
      <c r="C9" s="79">
        <v>0</v>
      </c>
      <c r="D9" s="80"/>
      <c r="E9" s="81">
        <f>D6/$E$3</f>
        <v>0.19453302047610607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1731.6213319365322</v>
      </c>
      <c r="D11" s="67">
        <v>0</v>
      </c>
      <c r="E11" s="68" t="s">
        <v>30</v>
      </c>
    </row>
    <row r="12" spans="2:6">
      <c r="B12" s="69">
        <v>5778</v>
      </c>
      <c r="C12" s="70">
        <v>5589</v>
      </c>
      <c r="D12" s="70">
        <f>B12-C12</f>
        <v>189</v>
      </c>
      <c r="E12" s="74">
        <f>D12*$E$4</f>
        <v>669.00306840744167</v>
      </c>
    </row>
    <row r="13" spans="2:6">
      <c r="B13" s="72">
        <f>'07-22'!C11</f>
        <v>1321.7030818312405</v>
      </c>
      <c r="C13" s="73">
        <v>0.61273</v>
      </c>
      <c r="D13" s="64">
        <f>(D12*$E$4*C13)</f>
        <v>409.91825010529175</v>
      </c>
      <c r="E13" s="74">
        <f>D13+E12</f>
        <v>1078.9213185127335</v>
      </c>
    </row>
    <row r="14" spans="2:6">
      <c r="B14" s="75"/>
      <c r="C14" s="86"/>
      <c r="D14" s="76">
        <f>E14/(B12-C12)</f>
        <v>5.7085784048292778</v>
      </c>
      <c r="E14" s="77">
        <f>E13+C15</f>
        <v>1078.9213185127335</v>
      </c>
    </row>
    <row r="15" spans="2:6">
      <c r="B15" s="78"/>
      <c r="C15" s="79">
        <v>0</v>
      </c>
      <c r="D15" s="80"/>
      <c r="E15" s="81">
        <f>D12/$E$3</f>
        <v>0.18951928283496933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1384</v>
      </c>
      <c r="C18" s="89">
        <v>1335</v>
      </c>
      <c r="D18" s="89">
        <f>B18-C18</f>
        <v>49</v>
      </c>
      <c r="E18" s="90">
        <f>D18*$E$4</f>
        <v>173.44523995748489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173.44523995748489</v>
      </c>
    </row>
    <row r="20" spans="2:5">
      <c r="B20" s="75"/>
      <c r="D20" s="76"/>
      <c r="E20" s="77">
        <f>E19+C21</f>
        <v>173.44523995748489</v>
      </c>
    </row>
    <row r="21" spans="2:5">
      <c r="B21" s="78"/>
      <c r="C21" s="79"/>
      <c r="D21" s="80"/>
      <c r="E21" s="81">
        <f>D18/$E$3</f>
        <v>4.9134628883140193E-2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536.50539495626549</v>
      </c>
      <c r="D23" s="67">
        <v>0</v>
      </c>
      <c r="E23" s="68" t="s">
        <v>30</v>
      </c>
    </row>
    <row r="24" spans="2:5">
      <c r="B24" s="92">
        <f>E3-D6-D12-D18-D36-D30</f>
        <v>420.25999999999203</v>
      </c>
      <c r="C24" s="70"/>
      <c r="D24" s="70">
        <f>B24-C24</f>
        <v>420.25999999999203</v>
      </c>
      <c r="E24" s="93">
        <f>D24*$E$4</f>
        <v>1487.5938070312493</v>
      </c>
    </row>
    <row r="25" spans="2:5">
      <c r="B25" s="72">
        <f>'06-22'!C23</f>
        <v>250.09895928853902</v>
      </c>
      <c r="C25" s="73">
        <v>0.19253000000000001</v>
      </c>
      <c r="D25" s="94">
        <f>(D24*$E$4*C25)</f>
        <v>286.40643566772644</v>
      </c>
      <c r="E25" s="74">
        <f>D25+E24</f>
        <v>1774.0002426989759</v>
      </c>
    </row>
    <row r="26" spans="2:5">
      <c r="B26" s="75"/>
      <c r="C26" s="16"/>
      <c r="D26" s="95"/>
      <c r="E26" s="77">
        <f>E25+C27</f>
        <v>1774.0002426989759</v>
      </c>
    </row>
    <row r="27" spans="2:5">
      <c r="B27" s="78"/>
      <c r="C27" s="79"/>
      <c r="D27" s="80"/>
      <c r="E27" s="81">
        <f>D24/$E$3</f>
        <v>0.42141467621281853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100.05170968453642</v>
      </c>
      <c r="D29" s="67">
        <v>200</v>
      </c>
      <c r="E29" s="68" t="s">
        <v>30</v>
      </c>
    </row>
    <row r="30" spans="2:5">
      <c r="B30" s="69">
        <v>5865</v>
      </c>
      <c r="C30" s="70">
        <v>5801</v>
      </c>
      <c r="D30" s="70">
        <f>B30-C30</f>
        <v>64</v>
      </c>
      <c r="E30" s="93">
        <f>D30*$E$4</f>
        <v>226.54072157712312</v>
      </c>
    </row>
    <row r="31" spans="2:5">
      <c r="B31" s="96">
        <f>'05-22'!C26</f>
        <v>0</v>
      </c>
      <c r="C31" s="73">
        <v>0.44164999999999999</v>
      </c>
      <c r="D31" s="64">
        <f>(D30*$E$4*C31)</f>
        <v>100.05170968453642</v>
      </c>
      <c r="E31" s="74">
        <f>D31+E30</f>
        <v>326.59243126165956</v>
      </c>
    </row>
    <row r="32" spans="2:5">
      <c r="B32" s="75"/>
      <c r="D32" s="76"/>
      <c r="E32" s="77">
        <f>E31+C33</f>
        <v>326.59243126165956</v>
      </c>
    </row>
    <row r="33" spans="2:5">
      <c r="B33" s="78">
        <f>C33-D33</f>
        <v>0</v>
      </c>
      <c r="C33" s="79">
        <v>0</v>
      </c>
      <c r="D33" s="80"/>
      <c r="E33" s="81">
        <f>D30/$E$3</f>
        <v>6.4175841806550463E-2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7570</v>
      </c>
      <c r="C36" s="89">
        <v>7489</v>
      </c>
      <c r="D36" s="89">
        <f>B36-C36+J39</f>
        <v>81</v>
      </c>
      <c r="E36" s="97">
        <f>D36*$E$4</f>
        <v>286.71560074604645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286.71560074604645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997.25999999999203</v>
      </c>
      <c r="D40" s="103">
        <f>E8+E14+E20+E26+E32+E37</f>
        <v>4514.1206025850852</v>
      </c>
      <c r="E40" s="7">
        <f>E36+E30+E24+E18+E12+E6</f>
        <v>3530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1423.7180000000001</v>
      </c>
      <c r="C3" s="59">
        <v>1402.693</v>
      </c>
      <c r="D3" s="60">
        <f>B3-C3</f>
        <v>21.025000000000091</v>
      </c>
      <c r="E3" s="60">
        <f>D3*$E$1</f>
        <v>1261.5000000000055</v>
      </c>
    </row>
    <row r="4" spans="2:6">
      <c r="B4" s="61" t="s">
        <v>27</v>
      </c>
      <c r="C4" s="62">
        <v>4825</v>
      </c>
      <c r="D4" s="61" t="s">
        <v>28</v>
      </c>
      <c r="E4" s="63">
        <f>C4/E3</f>
        <v>3.8248117320649855</v>
      </c>
      <c r="F4" s="64"/>
    </row>
    <row r="5" spans="2:6">
      <c r="B5" s="65" t="s">
        <v>29</v>
      </c>
      <c r="C5" s="66">
        <f>B7+D7</f>
        <v>126.21878715814452</v>
      </c>
      <c r="D5" s="67"/>
      <c r="E5" s="68" t="s">
        <v>30</v>
      </c>
    </row>
    <row r="6" spans="2:6">
      <c r="B6" s="69">
        <v>122430</v>
      </c>
      <c r="C6" s="70">
        <v>122210</v>
      </c>
      <c r="D6" s="70">
        <f>B6-C6</f>
        <v>220</v>
      </c>
      <c r="E6" s="71">
        <f>D6*$E$4</f>
        <v>841.45858105429681</v>
      </c>
      <c r="F6" s="64"/>
    </row>
    <row r="7" spans="2:6">
      <c r="B7" s="72"/>
      <c r="C7" s="73">
        <v>0.15</v>
      </c>
      <c r="D7" s="64">
        <f>(D6*$E$4*C7)</f>
        <v>126.21878715814452</v>
      </c>
      <c r="E7" s="74">
        <f>D7+E6</f>
        <v>967.67736821244137</v>
      </c>
      <c r="F7" s="64"/>
    </row>
    <row r="8" spans="2:6">
      <c r="B8" s="75"/>
      <c r="D8" s="76"/>
      <c r="E8" s="77">
        <f>E7+C9</f>
        <v>967.67736821244137</v>
      </c>
    </row>
    <row r="9" spans="2:6">
      <c r="B9" s="78"/>
      <c r="C9" s="79">
        <v>0</v>
      </c>
      <c r="D9" s="80"/>
      <c r="E9" s="81">
        <f>D6/$E$3</f>
        <v>0.17439556084026878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1477.1816787396822</v>
      </c>
      <c r="D11" s="67">
        <v>0</v>
      </c>
      <c r="E11" s="68" t="s">
        <v>30</v>
      </c>
    </row>
    <row r="12" spans="2:6">
      <c r="B12" s="69">
        <v>5589</v>
      </c>
      <c r="C12" s="70">
        <v>5318</v>
      </c>
      <c r="D12" s="70">
        <f>B12-C12</f>
        <v>271</v>
      </c>
      <c r="E12" s="74">
        <f>D12*$E$4</f>
        <v>1036.523979389611</v>
      </c>
    </row>
    <row r="13" spans="2:6">
      <c r="B13" s="72">
        <f>'07-22'!C11</f>
        <v>1321.7030818312405</v>
      </c>
      <c r="C13" s="73">
        <v>0.15</v>
      </c>
      <c r="D13" s="64">
        <f>(D12*$E$4*C13)</f>
        <v>155.47859690844163</v>
      </c>
      <c r="E13" s="74">
        <f>D13+E12</f>
        <v>1192.0025762980526</v>
      </c>
    </row>
    <row r="14" spans="2:6">
      <c r="B14" s="75"/>
      <c r="C14" s="86"/>
      <c r="D14" s="76">
        <f>E14/(B12-C12)</f>
        <v>4.3985334918747334</v>
      </c>
      <c r="E14" s="77">
        <f>E13+C15</f>
        <v>1192.0025762980526</v>
      </c>
    </row>
    <row r="15" spans="2:6">
      <c r="B15" s="78"/>
      <c r="C15" s="79">
        <v>0</v>
      </c>
      <c r="D15" s="80"/>
      <c r="E15" s="81">
        <f>D12/$E$3</f>
        <v>0.21482362267142199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1335</v>
      </c>
      <c r="C18" s="89">
        <v>1273</v>
      </c>
      <c r="D18" s="89">
        <f>B18-C18</f>
        <v>62</v>
      </c>
      <c r="E18" s="90">
        <f>D18*$E$4</f>
        <v>237.1383273880291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237.1383273880291</v>
      </c>
    </row>
    <row r="20" spans="2:5">
      <c r="B20" s="75"/>
      <c r="D20" s="76"/>
      <c r="E20" s="77">
        <f>E19+C21</f>
        <v>237.1383273880291</v>
      </c>
    </row>
    <row r="21" spans="2:5">
      <c r="B21" s="78"/>
      <c r="C21" s="79"/>
      <c r="D21" s="80"/>
      <c r="E21" s="81">
        <f>D18/$E$3</f>
        <v>4.9147839873166649E-2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454.5351463674146</v>
      </c>
      <c r="D23" s="67">
        <v>0</v>
      </c>
      <c r="E23" s="68" t="s">
        <v>30</v>
      </c>
    </row>
    <row r="24" spans="2:5">
      <c r="B24" s="92">
        <f>E3-D6-D12-D18-D36-D30</f>
        <v>534.50000000000546</v>
      </c>
      <c r="C24" s="70"/>
      <c r="D24" s="70">
        <f>B24-C24</f>
        <v>534.50000000000546</v>
      </c>
      <c r="E24" s="93">
        <f>D24*$E$4</f>
        <v>2044.3618707887556</v>
      </c>
    </row>
    <row r="25" spans="2:5">
      <c r="B25" s="72">
        <f>'06-22'!C23</f>
        <v>250.09895928853902</v>
      </c>
      <c r="C25" s="73">
        <v>0.1</v>
      </c>
      <c r="D25" s="94">
        <f>(D24*$E$4*C25)</f>
        <v>204.43618707887558</v>
      </c>
      <c r="E25" s="74">
        <f>D25+E24</f>
        <v>2248.7980578676311</v>
      </c>
    </row>
    <row r="26" spans="2:5">
      <c r="B26" s="75"/>
      <c r="C26" s="16"/>
      <c r="D26" s="95"/>
      <c r="E26" s="77">
        <f>E25+C27</f>
        <v>2248.7980578676311</v>
      </c>
    </row>
    <row r="27" spans="2:5">
      <c r="B27" s="78"/>
      <c r="C27" s="79"/>
      <c r="D27" s="80"/>
      <c r="E27" s="81">
        <f>D24/$E$3</f>
        <v>0.4237019421323846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5801</v>
      </c>
      <c r="C30" s="70">
        <v>5686</v>
      </c>
      <c r="D30" s="70">
        <f>B30-C30</f>
        <v>115</v>
      </c>
      <c r="E30" s="93">
        <f>D30*$E$4</f>
        <v>439.85334918747333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439.85334918747333</v>
      </c>
    </row>
    <row r="32" spans="2:5">
      <c r="B32" s="75"/>
      <c r="D32" s="76"/>
      <c r="E32" s="77">
        <f>E31+C33</f>
        <v>439.85334918747333</v>
      </c>
    </row>
    <row r="33" spans="2:5">
      <c r="B33" s="78">
        <f>C33-D33</f>
        <v>0</v>
      </c>
      <c r="C33" s="79">
        <v>0</v>
      </c>
      <c r="D33" s="80"/>
      <c r="E33" s="81">
        <f>D30/$E$3</f>
        <v>9.1161315893776851E-2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7489</v>
      </c>
      <c r="C36" s="89">
        <v>7430</v>
      </c>
      <c r="D36" s="89">
        <f>B36-C36+J39</f>
        <v>59</v>
      </c>
      <c r="E36" s="97">
        <f>D36*$E$4</f>
        <v>225.66389219183415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225.66389219183415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1261.5000000000055</v>
      </c>
      <c r="D40" s="103">
        <f>E8+E14+E20+E26+E32+E37</f>
        <v>5311.1335711454612</v>
      </c>
      <c r="E40" s="7">
        <f>E36+E30+E24+E18+E12+E6</f>
        <v>4825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638</TotalTime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37</vt:i4>
      </vt:variant>
    </vt:vector>
  </HeadingPairs>
  <TitlesOfParts>
    <vt:vector size="37" baseType="lpstr">
      <vt:lpstr>2024</vt:lpstr>
      <vt:lpstr>24_10</vt:lpstr>
      <vt:lpstr>24_09</vt:lpstr>
      <vt:lpstr>24_08</vt:lpstr>
      <vt:lpstr>24_07</vt:lpstr>
      <vt:lpstr>24_06</vt:lpstr>
      <vt:lpstr>24_05</vt:lpstr>
      <vt:lpstr>24_04</vt:lpstr>
      <vt:lpstr>24_03</vt:lpstr>
      <vt:lpstr>24_02</vt:lpstr>
      <vt:lpstr>24_01</vt:lpstr>
      <vt:lpstr>2023</vt:lpstr>
      <vt:lpstr>23_12</vt:lpstr>
      <vt:lpstr>23_11</vt:lpstr>
      <vt:lpstr>23_10</vt:lpstr>
      <vt:lpstr>23_9</vt:lpstr>
      <vt:lpstr>23_8</vt:lpstr>
      <vt:lpstr>23_7</vt:lpstr>
      <vt:lpstr>23_6</vt:lpstr>
      <vt:lpstr>23_5</vt:lpstr>
      <vt:lpstr>23_4</vt:lpstr>
      <vt:lpstr>23_3</vt:lpstr>
      <vt:lpstr>23_2</vt:lpstr>
      <vt:lpstr>01-23</vt:lpstr>
      <vt:lpstr>01-22</vt:lpstr>
      <vt:lpstr>02-22</vt:lpstr>
      <vt:lpstr>03-22</vt:lpstr>
      <vt:lpstr>04-22</vt:lpstr>
      <vt:lpstr>05-22</vt:lpstr>
      <vt:lpstr>06-22</vt:lpstr>
      <vt:lpstr>07-22</vt:lpstr>
      <vt:lpstr>08-22</vt:lpstr>
      <vt:lpstr>09-22</vt:lpstr>
      <vt:lpstr>10-22</vt:lpstr>
      <vt:lpstr>11-22</vt:lpstr>
      <vt:lpstr>12-22</vt:lpstr>
      <vt:lpstr>Sheet7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</dc:creator>
  <cp:lastModifiedBy>Ali</cp:lastModifiedBy>
  <cp:revision>90</cp:revision>
  <cp:lastPrinted>2024-09-04T08:56:48Z</cp:lastPrinted>
  <dcterms:created xsi:type="dcterms:W3CDTF">2022-01-04T09:25:31Z</dcterms:created>
  <dcterms:modified xsi:type="dcterms:W3CDTF">2024-10-08T10:39:29Z</dcterms:modified>
</cp:coreProperties>
</file>